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Elci\Downloads\"/>
    </mc:Choice>
  </mc:AlternateContent>
  <xr:revisionPtr revIDLastSave="0" documentId="13_ncr:1_{D05A02FC-F39D-4AFC-BBD4-6A14CB187275}" xr6:coauthVersionLast="36" xr6:coauthVersionMax="47" xr10:uidLastSave="{00000000-0000-0000-0000-000000000000}"/>
  <bookViews>
    <workbookView xWindow="0" yWindow="0" windowWidth="28800" windowHeight="12225" tabRatio="857" activeTab="6" xr2:uid="{FF770310-D00C-4311-BF74-A05F0601AF27}"/>
  </bookViews>
  <sheets>
    <sheet name="Comece Aqui" sheetId="5" r:id="rId1"/>
    <sheet name="Base de Dados" sheetId="1" r:id="rId2"/>
    <sheet name="Perguntas 1 a 24" sheetId="4" r:id="rId3"/>
    <sheet name="Controle Financeiro" sheetId="6" r:id="rId4"/>
    <sheet name="Perguntas 25 e 26 - Financeiro" sheetId="7" r:id="rId5"/>
    <sheet name="Base Vendas" sheetId="8" r:id="rId6"/>
    <sheet name="Perguntas 27 a 30 - Vendas" sheetId="9" r:id="rId7"/>
  </sheets>
  <definedNames>
    <definedName name="_xlnm._FilterDatabase" localSheetId="1" hidden="1">'Base de Dados'!$A$1:$H$3856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9" l="1"/>
  <c r="I20" i="9"/>
  <c r="I17" i="9"/>
  <c r="M3" i="8"/>
  <c r="M4" i="8"/>
  <c r="M5" i="8"/>
  <c r="M6" i="8"/>
  <c r="M7" i="8"/>
  <c r="M8" i="8"/>
  <c r="M9" i="8"/>
  <c r="M2" i="8"/>
  <c r="E17" i="9" s="1"/>
  <c r="D17" i="9" s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2" i="8"/>
  <c r="E7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9" i="7"/>
  <c r="E8" i="7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AV23" i="6" s="1"/>
  <c r="AW23" i="6" s="1"/>
  <c r="AX23" i="6" s="1"/>
  <c r="AY23" i="6" s="1"/>
  <c r="AZ23" i="6" s="1"/>
  <c r="BA23" i="6" s="1"/>
  <c r="BB23" i="6" s="1"/>
  <c r="BC23" i="6" s="1"/>
  <c r="BD23" i="6" s="1"/>
  <c r="BE23" i="6" s="1"/>
  <c r="BF23" i="6" s="1"/>
  <c r="BG23" i="6" s="1"/>
  <c r="BH23" i="6" s="1"/>
  <c r="BI23" i="6" s="1"/>
  <c r="BJ23" i="6" s="1"/>
  <c r="BK23" i="6" s="1"/>
  <c r="BL23" i="6" s="1"/>
  <c r="BM23" i="6" s="1"/>
  <c r="BN23" i="6" s="1"/>
  <c r="BO23" i="6" s="1"/>
  <c r="BP23" i="6" s="1"/>
  <c r="BQ23" i="6" s="1"/>
  <c r="BR23" i="6" s="1"/>
  <c r="BS23" i="6" s="1"/>
  <c r="BT23" i="6" s="1"/>
  <c r="BU23" i="6" s="1"/>
  <c r="BV23" i="6" s="1"/>
  <c r="BW23" i="6" s="1"/>
  <c r="BX23" i="6" s="1"/>
  <c r="BY23" i="6" s="1"/>
  <c r="BZ23" i="6" s="1"/>
  <c r="CA23" i="6" s="1"/>
  <c r="CB23" i="6" s="1"/>
  <c r="CC23" i="6" s="1"/>
  <c r="CD23" i="6" s="1"/>
  <c r="CE23" i="6" s="1"/>
  <c r="CF23" i="6" s="1"/>
  <c r="CG23" i="6" s="1"/>
  <c r="CH23" i="6" s="1"/>
  <c r="CI23" i="6" s="1"/>
  <c r="CJ23" i="6" s="1"/>
  <c r="CK23" i="6" s="1"/>
  <c r="CL23" i="6" s="1"/>
  <c r="CM23" i="6" s="1"/>
  <c r="CN23" i="6" s="1"/>
  <c r="CO23" i="6" s="1"/>
  <c r="CP23" i="6" s="1"/>
  <c r="CQ23" i="6" s="1"/>
  <c r="CR23" i="6" s="1"/>
  <c r="CS23" i="6" s="1"/>
  <c r="CT23" i="6" s="1"/>
  <c r="CU23" i="6" s="1"/>
  <c r="CV23" i="6" s="1"/>
  <c r="CW23" i="6" s="1"/>
  <c r="CX23" i="6" s="1"/>
  <c r="CY23" i="6" s="1"/>
  <c r="CZ23" i="6" s="1"/>
  <c r="DA23" i="6" s="1"/>
  <c r="DB23" i="6" s="1"/>
  <c r="DC23" i="6" s="1"/>
  <c r="DD23" i="6" s="1"/>
  <c r="DE23" i="6" s="1"/>
  <c r="DF23" i="6" s="1"/>
  <c r="DG23" i="6" s="1"/>
  <c r="DH23" i="6" s="1"/>
  <c r="DI23" i="6" s="1"/>
  <c r="DJ23" i="6" s="1"/>
  <c r="DK23" i="6" s="1"/>
  <c r="DL23" i="6" s="1"/>
  <c r="DM23" i="6" s="1"/>
  <c r="DN23" i="6" s="1"/>
  <c r="DO23" i="6" s="1"/>
  <c r="DP23" i="6" s="1"/>
  <c r="DQ23" i="6" s="1"/>
  <c r="DR23" i="6" s="1"/>
  <c r="DS23" i="6" s="1"/>
  <c r="DT23" i="6" s="1"/>
  <c r="DU23" i="6" s="1"/>
  <c r="DV23" i="6" s="1"/>
  <c r="DW23" i="6" s="1"/>
  <c r="DX23" i="6" s="1"/>
  <c r="DY23" i="6" s="1"/>
  <c r="DZ23" i="6" s="1"/>
  <c r="EA23" i="6" s="1"/>
  <c r="EB23" i="6" s="1"/>
  <c r="EC23" i="6" s="1"/>
  <c r="ED23" i="6" s="1"/>
  <c r="EE23" i="6" s="1"/>
  <c r="EF23" i="6" s="1"/>
  <c r="EG23" i="6" s="1"/>
  <c r="EH23" i="6" s="1"/>
  <c r="EI23" i="6" s="1"/>
  <c r="EJ23" i="6" s="1"/>
  <c r="EK23" i="6" s="1"/>
  <c r="EL23" i="6" s="1"/>
  <c r="EM23" i="6" s="1"/>
  <c r="EN23" i="6" s="1"/>
  <c r="EO23" i="6" s="1"/>
  <c r="EP23" i="6" s="1"/>
  <c r="EQ23" i="6" s="1"/>
  <c r="ER23" i="6" s="1"/>
  <c r="ES23" i="6" s="1"/>
  <c r="ET23" i="6" s="1"/>
  <c r="EU23" i="6" s="1"/>
  <c r="EV23" i="6" s="1"/>
  <c r="EW23" i="6" s="1"/>
  <c r="EX23" i="6" s="1"/>
  <c r="EY23" i="6" s="1"/>
  <c r="EZ23" i="6" s="1"/>
  <c r="FA23" i="6" s="1"/>
  <c r="FB23" i="6" s="1"/>
  <c r="FC23" i="6" s="1"/>
  <c r="FD23" i="6" s="1"/>
  <c r="FE23" i="6" s="1"/>
  <c r="FF23" i="6" s="1"/>
  <c r="FG23" i="6" s="1"/>
  <c r="FH23" i="6" s="1"/>
  <c r="FI23" i="6" s="1"/>
  <c r="FJ23" i="6" s="1"/>
  <c r="FK23" i="6" s="1"/>
  <c r="FL23" i="6" s="1"/>
  <c r="FM23" i="6" s="1"/>
  <c r="FN23" i="6" s="1"/>
  <c r="FO23" i="6" s="1"/>
  <c r="FP23" i="6" s="1"/>
  <c r="FQ23" i="6" s="1"/>
  <c r="FR23" i="6" s="1"/>
  <c r="FS23" i="6" s="1"/>
  <c r="FT23" i="6" s="1"/>
  <c r="FU23" i="6" s="1"/>
  <c r="FV23" i="6" s="1"/>
  <c r="FW23" i="6" s="1"/>
  <c r="FX23" i="6" s="1"/>
  <c r="FY23" i="6" s="1"/>
  <c r="FZ23" i="6" s="1"/>
  <c r="GA23" i="6" s="1"/>
  <c r="GB23" i="6" s="1"/>
  <c r="GC23" i="6" s="1"/>
  <c r="GD23" i="6" s="1"/>
  <c r="GE23" i="6" s="1"/>
  <c r="GF23" i="6" s="1"/>
  <c r="GG23" i="6" s="1"/>
  <c r="GH23" i="6" s="1"/>
  <c r="GI23" i="6" s="1"/>
  <c r="GJ23" i="6" s="1"/>
  <c r="GK23" i="6" s="1"/>
  <c r="GL23" i="6" s="1"/>
  <c r="GM23" i="6" s="1"/>
  <c r="GN23" i="6" s="1"/>
  <c r="GO23" i="6" s="1"/>
  <c r="GP23" i="6" s="1"/>
  <c r="GQ23" i="6" s="1"/>
  <c r="GR23" i="6" s="1"/>
  <c r="GS23" i="6" s="1"/>
  <c r="GT23" i="6" s="1"/>
  <c r="GU23" i="6" s="1"/>
  <c r="GV23" i="6" s="1"/>
  <c r="GW23" i="6" s="1"/>
  <c r="GX23" i="6" s="1"/>
  <c r="GY23" i="6" s="1"/>
  <c r="GZ23" i="6" s="1"/>
  <c r="HA23" i="6" s="1"/>
  <c r="HB23" i="6" s="1"/>
  <c r="HC23" i="6" s="1"/>
  <c r="HD23" i="6" s="1"/>
  <c r="HE23" i="6" s="1"/>
  <c r="HF23" i="6" s="1"/>
  <c r="HG23" i="6" s="1"/>
  <c r="HH23" i="6" s="1"/>
  <c r="HI23" i="6" s="1"/>
  <c r="HJ23" i="6" s="1"/>
  <c r="HK23" i="6" s="1"/>
  <c r="HL23" i="6" s="1"/>
  <c r="HM23" i="6" s="1"/>
  <c r="HN23" i="6" s="1"/>
  <c r="HO23" i="6" s="1"/>
  <c r="HP23" i="6" s="1"/>
  <c r="HQ23" i="6" s="1"/>
  <c r="HR23" i="6" s="1"/>
  <c r="HS23" i="6" s="1"/>
  <c r="HT23" i="6" s="1"/>
  <c r="HU23" i="6" s="1"/>
  <c r="HV23" i="6" s="1"/>
  <c r="HW23" i="6" s="1"/>
  <c r="HX23" i="6" s="1"/>
  <c r="HY23" i="6" s="1"/>
  <c r="HZ23" i="6" s="1"/>
  <c r="IA23" i="6" s="1"/>
  <c r="IB23" i="6" s="1"/>
  <c r="IC23" i="6" s="1"/>
  <c r="ID23" i="6" s="1"/>
  <c r="IE23" i="6" s="1"/>
  <c r="IF23" i="6" s="1"/>
  <c r="IG23" i="6" s="1"/>
  <c r="IH23" i="6" s="1"/>
  <c r="II23" i="6" s="1"/>
  <c r="IJ23" i="6" s="1"/>
  <c r="IK23" i="6" s="1"/>
  <c r="IL23" i="6" s="1"/>
  <c r="IM23" i="6" s="1"/>
  <c r="IN23" i="6" s="1"/>
  <c r="IO23" i="6" s="1"/>
  <c r="IP23" i="6" s="1"/>
  <c r="IQ23" i="6" s="1"/>
  <c r="IR23" i="6" s="1"/>
  <c r="IS23" i="6" s="1"/>
  <c r="IT23" i="6" s="1"/>
  <c r="IU23" i="6" s="1"/>
  <c r="IV23" i="6" s="1"/>
  <c r="IW23" i="6" s="1"/>
  <c r="IX23" i="6" s="1"/>
  <c r="IY23" i="6" s="1"/>
  <c r="IZ23" i="6" s="1"/>
  <c r="JA23" i="6" s="1"/>
  <c r="JB23" i="6" s="1"/>
  <c r="JC23" i="6" s="1"/>
  <c r="JD23" i="6" s="1"/>
  <c r="JE23" i="6" s="1"/>
  <c r="JF23" i="6" s="1"/>
  <c r="JG23" i="6" s="1"/>
  <c r="JH23" i="6" s="1"/>
  <c r="JI23" i="6" s="1"/>
  <c r="JJ23" i="6" s="1"/>
  <c r="JK23" i="6" s="1"/>
  <c r="JL23" i="6" s="1"/>
  <c r="JM23" i="6" s="1"/>
  <c r="JN23" i="6" s="1"/>
  <c r="JO23" i="6" s="1"/>
  <c r="JP23" i="6" s="1"/>
  <c r="JQ23" i="6" s="1"/>
  <c r="JR23" i="6" s="1"/>
  <c r="JS23" i="6" s="1"/>
  <c r="JT23" i="6" s="1"/>
  <c r="JU23" i="6" s="1"/>
  <c r="JV23" i="6" s="1"/>
  <c r="JW23" i="6" s="1"/>
  <c r="JX23" i="6" s="1"/>
  <c r="JY23" i="6" s="1"/>
  <c r="JZ23" i="6" s="1"/>
  <c r="KA23" i="6" s="1"/>
  <c r="KB23" i="6" s="1"/>
  <c r="KC23" i="6" s="1"/>
  <c r="KD23" i="6" s="1"/>
  <c r="KE23" i="6" s="1"/>
  <c r="KF23" i="6" s="1"/>
  <c r="KG23" i="6" s="1"/>
  <c r="KH23" i="6" s="1"/>
  <c r="KI23" i="6" s="1"/>
  <c r="KJ23" i="6" s="1"/>
  <c r="KK23" i="6" s="1"/>
  <c r="KL23" i="6" s="1"/>
  <c r="KM23" i="6" s="1"/>
  <c r="KN23" i="6" s="1"/>
  <c r="KO23" i="6" s="1"/>
  <c r="KP23" i="6" s="1"/>
  <c r="KQ23" i="6" s="1"/>
  <c r="KR23" i="6" s="1"/>
  <c r="KS23" i="6" s="1"/>
  <c r="KT23" i="6" s="1"/>
  <c r="KU23" i="6" s="1"/>
  <c r="KV23" i="6" s="1"/>
  <c r="KW23" i="6" s="1"/>
  <c r="KX23" i="6" s="1"/>
  <c r="KY23" i="6" s="1"/>
  <c r="KZ23" i="6" s="1"/>
  <c r="LA23" i="6" s="1"/>
  <c r="LB23" i="6" s="1"/>
  <c r="LC23" i="6" s="1"/>
  <c r="LD23" i="6" s="1"/>
  <c r="LE23" i="6" s="1"/>
  <c r="LF23" i="6" s="1"/>
  <c r="LG23" i="6" s="1"/>
  <c r="LH23" i="6" s="1"/>
  <c r="LI23" i="6" s="1"/>
  <c r="LJ23" i="6" s="1"/>
  <c r="LK23" i="6" s="1"/>
  <c r="LL23" i="6" s="1"/>
  <c r="LM23" i="6" s="1"/>
  <c r="LN23" i="6" s="1"/>
  <c r="LO23" i="6" s="1"/>
  <c r="LP23" i="6" s="1"/>
  <c r="LQ23" i="6" s="1"/>
  <c r="LR23" i="6" s="1"/>
  <c r="LS23" i="6" s="1"/>
  <c r="LT23" i="6" s="1"/>
  <c r="LU23" i="6" s="1"/>
  <c r="LV23" i="6" s="1"/>
  <c r="LW23" i="6" s="1"/>
  <c r="LX23" i="6" s="1"/>
  <c r="LY23" i="6" s="1"/>
  <c r="LZ23" i="6" s="1"/>
  <c r="MA23" i="6" s="1"/>
  <c r="MB23" i="6" s="1"/>
  <c r="MC23" i="6" s="1"/>
  <c r="MD23" i="6" s="1"/>
  <c r="ME23" i="6" s="1"/>
  <c r="MF23" i="6" s="1"/>
  <c r="MG23" i="6" s="1"/>
  <c r="MH23" i="6" s="1"/>
  <c r="MI23" i="6" s="1"/>
  <c r="MJ23" i="6" s="1"/>
  <c r="MK23" i="6" s="1"/>
  <c r="ML23" i="6" s="1"/>
  <c r="MM23" i="6" s="1"/>
  <c r="MN23" i="6" s="1"/>
  <c r="MO23" i="6" s="1"/>
  <c r="MP23" i="6" s="1"/>
  <c r="MQ23" i="6" s="1"/>
  <c r="MR23" i="6" s="1"/>
  <c r="MS23" i="6" s="1"/>
  <c r="MT23" i="6" s="1"/>
  <c r="MU23" i="6" s="1"/>
  <c r="MV23" i="6" s="1"/>
  <c r="MW23" i="6" s="1"/>
  <c r="MX23" i="6" s="1"/>
  <c r="D23" i="6"/>
  <c r="C23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EU22" i="6"/>
  <c r="EV22" i="6"/>
  <c r="EW22" i="6"/>
  <c r="EX22" i="6"/>
  <c r="EY22" i="6"/>
  <c r="EZ22" i="6"/>
  <c r="FA22" i="6"/>
  <c r="FB22" i="6"/>
  <c r="FC22" i="6"/>
  <c r="FD22" i="6"/>
  <c r="FE22" i="6"/>
  <c r="FF22" i="6"/>
  <c r="FG22" i="6"/>
  <c r="FH22" i="6"/>
  <c r="FI22" i="6"/>
  <c r="FJ22" i="6"/>
  <c r="FK22" i="6"/>
  <c r="FL22" i="6"/>
  <c r="FM22" i="6"/>
  <c r="FN22" i="6"/>
  <c r="FO22" i="6"/>
  <c r="FP22" i="6"/>
  <c r="FQ22" i="6"/>
  <c r="FR22" i="6"/>
  <c r="FS22" i="6"/>
  <c r="FT22" i="6"/>
  <c r="FU22" i="6"/>
  <c r="FV22" i="6"/>
  <c r="FW22" i="6"/>
  <c r="FX22" i="6"/>
  <c r="FY22" i="6"/>
  <c r="FZ22" i="6"/>
  <c r="GA22" i="6"/>
  <c r="GB22" i="6"/>
  <c r="GC22" i="6"/>
  <c r="GD22" i="6"/>
  <c r="GE22" i="6"/>
  <c r="GF22" i="6"/>
  <c r="GG22" i="6"/>
  <c r="GH22" i="6"/>
  <c r="GI22" i="6"/>
  <c r="GJ22" i="6"/>
  <c r="GK22" i="6"/>
  <c r="GL22" i="6"/>
  <c r="GM22" i="6"/>
  <c r="GN22" i="6"/>
  <c r="GO22" i="6"/>
  <c r="GP22" i="6"/>
  <c r="GQ22" i="6"/>
  <c r="GR22" i="6"/>
  <c r="GS22" i="6"/>
  <c r="GT22" i="6"/>
  <c r="GU22" i="6"/>
  <c r="GV22" i="6"/>
  <c r="GW22" i="6"/>
  <c r="GX22" i="6"/>
  <c r="GY22" i="6"/>
  <c r="GZ22" i="6"/>
  <c r="HA22" i="6"/>
  <c r="HB22" i="6"/>
  <c r="HC22" i="6"/>
  <c r="HD22" i="6"/>
  <c r="HE22" i="6"/>
  <c r="HF22" i="6"/>
  <c r="HG22" i="6"/>
  <c r="HH22" i="6"/>
  <c r="HI22" i="6"/>
  <c r="HJ22" i="6"/>
  <c r="HK22" i="6"/>
  <c r="HL22" i="6"/>
  <c r="HM22" i="6"/>
  <c r="HN22" i="6"/>
  <c r="HO22" i="6"/>
  <c r="HP22" i="6"/>
  <c r="HQ22" i="6"/>
  <c r="HR22" i="6"/>
  <c r="HS22" i="6"/>
  <c r="HT22" i="6"/>
  <c r="HU22" i="6"/>
  <c r="HV22" i="6"/>
  <c r="HW22" i="6"/>
  <c r="HX22" i="6"/>
  <c r="HY22" i="6"/>
  <c r="HZ22" i="6"/>
  <c r="IA22" i="6"/>
  <c r="IB22" i="6"/>
  <c r="IC22" i="6"/>
  <c r="ID22" i="6"/>
  <c r="IE22" i="6"/>
  <c r="IF22" i="6"/>
  <c r="IG22" i="6"/>
  <c r="IH22" i="6"/>
  <c r="II22" i="6"/>
  <c r="IJ22" i="6"/>
  <c r="IK22" i="6"/>
  <c r="IL22" i="6"/>
  <c r="IM22" i="6"/>
  <c r="IN22" i="6"/>
  <c r="IO22" i="6"/>
  <c r="IP22" i="6"/>
  <c r="IQ22" i="6"/>
  <c r="IR22" i="6"/>
  <c r="IS22" i="6"/>
  <c r="IT22" i="6"/>
  <c r="IU22" i="6"/>
  <c r="IV22" i="6"/>
  <c r="IW22" i="6"/>
  <c r="IX22" i="6"/>
  <c r="IY22" i="6"/>
  <c r="IZ22" i="6"/>
  <c r="JA22" i="6"/>
  <c r="JB22" i="6"/>
  <c r="JC22" i="6"/>
  <c r="JD22" i="6"/>
  <c r="JE22" i="6"/>
  <c r="JF22" i="6"/>
  <c r="JG22" i="6"/>
  <c r="JH22" i="6"/>
  <c r="JI22" i="6"/>
  <c r="JJ22" i="6"/>
  <c r="JK22" i="6"/>
  <c r="JL22" i="6"/>
  <c r="JM22" i="6"/>
  <c r="JN22" i="6"/>
  <c r="JO22" i="6"/>
  <c r="JP22" i="6"/>
  <c r="JQ22" i="6"/>
  <c r="JR22" i="6"/>
  <c r="JS22" i="6"/>
  <c r="JT22" i="6"/>
  <c r="JU22" i="6"/>
  <c r="JV22" i="6"/>
  <c r="JW22" i="6"/>
  <c r="JX22" i="6"/>
  <c r="JY22" i="6"/>
  <c r="JZ22" i="6"/>
  <c r="KA22" i="6"/>
  <c r="KB22" i="6"/>
  <c r="KC22" i="6"/>
  <c r="KD22" i="6"/>
  <c r="KE22" i="6"/>
  <c r="KF22" i="6"/>
  <c r="KG22" i="6"/>
  <c r="KH22" i="6"/>
  <c r="KI22" i="6"/>
  <c r="KJ22" i="6"/>
  <c r="KK22" i="6"/>
  <c r="KL22" i="6"/>
  <c r="KM22" i="6"/>
  <c r="KN22" i="6"/>
  <c r="KO22" i="6"/>
  <c r="KP22" i="6"/>
  <c r="KQ22" i="6"/>
  <c r="KR22" i="6"/>
  <c r="KS22" i="6"/>
  <c r="KT22" i="6"/>
  <c r="KU22" i="6"/>
  <c r="KV22" i="6"/>
  <c r="KW22" i="6"/>
  <c r="KX22" i="6"/>
  <c r="KY22" i="6"/>
  <c r="KZ22" i="6"/>
  <c r="LA22" i="6"/>
  <c r="LB22" i="6"/>
  <c r="LC22" i="6"/>
  <c r="LD22" i="6"/>
  <c r="LE22" i="6"/>
  <c r="LF22" i="6"/>
  <c r="LG22" i="6"/>
  <c r="LH22" i="6"/>
  <c r="LI22" i="6"/>
  <c r="LJ22" i="6"/>
  <c r="LK22" i="6"/>
  <c r="LL22" i="6"/>
  <c r="LM22" i="6"/>
  <c r="LN22" i="6"/>
  <c r="LO22" i="6"/>
  <c r="LP22" i="6"/>
  <c r="LQ22" i="6"/>
  <c r="LR22" i="6"/>
  <c r="LS22" i="6"/>
  <c r="LT22" i="6"/>
  <c r="LU22" i="6"/>
  <c r="LV22" i="6"/>
  <c r="LW22" i="6"/>
  <c r="LX22" i="6"/>
  <c r="LY22" i="6"/>
  <c r="LZ22" i="6"/>
  <c r="MA22" i="6"/>
  <c r="MB22" i="6"/>
  <c r="MC22" i="6"/>
  <c r="MD22" i="6"/>
  <c r="ME22" i="6"/>
  <c r="MF22" i="6"/>
  <c r="MG22" i="6"/>
  <c r="MH22" i="6"/>
  <c r="MI22" i="6"/>
  <c r="MJ22" i="6"/>
  <c r="MK22" i="6"/>
  <c r="ML22" i="6"/>
  <c r="MM22" i="6"/>
  <c r="MN22" i="6"/>
  <c r="MO22" i="6"/>
  <c r="MP22" i="6"/>
  <c r="MQ22" i="6"/>
  <c r="MR22" i="6"/>
  <c r="MS22" i="6"/>
  <c r="MT22" i="6"/>
  <c r="MU22" i="6"/>
  <c r="MV22" i="6"/>
  <c r="MW22" i="6"/>
  <c r="MX22" i="6"/>
  <c r="C22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EU19" i="6"/>
  <c r="EV19" i="6"/>
  <c r="EW19" i="6"/>
  <c r="EX19" i="6"/>
  <c r="EY19" i="6"/>
  <c r="EZ19" i="6"/>
  <c r="FA19" i="6"/>
  <c r="FB19" i="6"/>
  <c r="FC19" i="6"/>
  <c r="FD19" i="6"/>
  <c r="FE19" i="6"/>
  <c r="FF19" i="6"/>
  <c r="FG19" i="6"/>
  <c r="FH19" i="6"/>
  <c r="FI19" i="6"/>
  <c r="FJ19" i="6"/>
  <c r="FK19" i="6"/>
  <c r="FL19" i="6"/>
  <c r="FM19" i="6"/>
  <c r="FN19" i="6"/>
  <c r="FO19" i="6"/>
  <c r="FP19" i="6"/>
  <c r="FQ19" i="6"/>
  <c r="FR19" i="6"/>
  <c r="FS19" i="6"/>
  <c r="FT19" i="6"/>
  <c r="FU19" i="6"/>
  <c r="FV19" i="6"/>
  <c r="FW19" i="6"/>
  <c r="FX19" i="6"/>
  <c r="FY19" i="6"/>
  <c r="FZ19" i="6"/>
  <c r="GA19" i="6"/>
  <c r="GB19" i="6"/>
  <c r="GC19" i="6"/>
  <c r="GD19" i="6"/>
  <c r="GE19" i="6"/>
  <c r="GF19" i="6"/>
  <c r="GG19" i="6"/>
  <c r="GH19" i="6"/>
  <c r="GI19" i="6"/>
  <c r="GJ19" i="6"/>
  <c r="GK19" i="6"/>
  <c r="GL19" i="6"/>
  <c r="GM19" i="6"/>
  <c r="GN19" i="6"/>
  <c r="GO19" i="6"/>
  <c r="GP19" i="6"/>
  <c r="GQ19" i="6"/>
  <c r="GR19" i="6"/>
  <c r="GS19" i="6"/>
  <c r="GT19" i="6"/>
  <c r="GU19" i="6"/>
  <c r="GV19" i="6"/>
  <c r="GW19" i="6"/>
  <c r="GX19" i="6"/>
  <c r="GY19" i="6"/>
  <c r="GZ19" i="6"/>
  <c r="HA19" i="6"/>
  <c r="HB19" i="6"/>
  <c r="HC19" i="6"/>
  <c r="HD19" i="6"/>
  <c r="HE19" i="6"/>
  <c r="HF19" i="6"/>
  <c r="HG19" i="6"/>
  <c r="HH19" i="6"/>
  <c r="HI19" i="6"/>
  <c r="HJ19" i="6"/>
  <c r="HK19" i="6"/>
  <c r="HL19" i="6"/>
  <c r="HM19" i="6"/>
  <c r="HN19" i="6"/>
  <c r="HO19" i="6"/>
  <c r="HP19" i="6"/>
  <c r="HQ19" i="6"/>
  <c r="HR19" i="6"/>
  <c r="HS19" i="6"/>
  <c r="HT19" i="6"/>
  <c r="HU19" i="6"/>
  <c r="HV19" i="6"/>
  <c r="HW19" i="6"/>
  <c r="HX19" i="6"/>
  <c r="HY19" i="6"/>
  <c r="HZ19" i="6"/>
  <c r="IA19" i="6"/>
  <c r="IB19" i="6"/>
  <c r="IC19" i="6"/>
  <c r="ID19" i="6"/>
  <c r="IE19" i="6"/>
  <c r="IF19" i="6"/>
  <c r="IG19" i="6"/>
  <c r="IH19" i="6"/>
  <c r="II19" i="6"/>
  <c r="IJ19" i="6"/>
  <c r="IK19" i="6"/>
  <c r="IL19" i="6"/>
  <c r="IM19" i="6"/>
  <c r="IN19" i="6"/>
  <c r="IO19" i="6"/>
  <c r="IP19" i="6"/>
  <c r="IQ19" i="6"/>
  <c r="IR19" i="6"/>
  <c r="IS19" i="6"/>
  <c r="IT19" i="6"/>
  <c r="IU19" i="6"/>
  <c r="IV19" i="6"/>
  <c r="IW19" i="6"/>
  <c r="IX19" i="6"/>
  <c r="IY19" i="6"/>
  <c r="IZ19" i="6"/>
  <c r="JA19" i="6"/>
  <c r="JB19" i="6"/>
  <c r="JC19" i="6"/>
  <c r="JD19" i="6"/>
  <c r="JE19" i="6"/>
  <c r="JF19" i="6"/>
  <c r="JG19" i="6"/>
  <c r="JH19" i="6"/>
  <c r="JI19" i="6"/>
  <c r="JJ19" i="6"/>
  <c r="JK19" i="6"/>
  <c r="JL19" i="6"/>
  <c r="JM19" i="6"/>
  <c r="JN19" i="6"/>
  <c r="JO19" i="6"/>
  <c r="JP19" i="6"/>
  <c r="JQ19" i="6"/>
  <c r="JR19" i="6"/>
  <c r="JS19" i="6"/>
  <c r="JT19" i="6"/>
  <c r="JU19" i="6"/>
  <c r="JV19" i="6"/>
  <c r="JW19" i="6"/>
  <c r="JX19" i="6"/>
  <c r="JY19" i="6"/>
  <c r="JZ19" i="6"/>
  <c r="KA19" i="6"/>
  <c r="KB19" i="6"/>
  <c r="KC19" i="6"/>
  <c r="KD19" i="6"/>
  <c r="KE19" i="6"/>
  <c r="KF19" i="6"/>
  <c r="KG19" i="6"/>
  <c r="KH19" i="6"/>
  <c r="KI19" i="6"/>
  <c r="KJ19" i="6"/>
  <c r="KK19" i="6"/>
  <c r="KL19" i="6"/>
  <c r="KM19" i="6"/>
  <c r="KN19" i="6"/>
  <c r="KO19" i="6"/>
  <c r="KP19" i="6"/>
  <c r="KQ19" i="6"/>
  <c r="KR19" i="6"/>
  <c r="KS19" i="6"/>
  <c r="KT19" i="6"/>
  <c r="KU19" i="6"/>
  <c r="KV19" i="6"/>
  <c r="KW19" i="6"/>
  <c r="KX19" i="6"/>
  <c r="KY19" i="6"/>
  <c r="KZ19" i="6"/>
  <c r="LA19" i="6"/>
  <c r="LB19" i="6"/>
  <c r="LC19" i="6"/>
  <c r="LD19" i="6"/>
  <c r="LE19" i="6"/>
  <c r="LF19" i="6"/>
  <c r="LG19" i="6"/>
  <c r="LH19" i="6"/>
  <c r="LI19" i="6"/>
  <c r="LJ19" i="6"/>
  <c r="LK19" i="6"/>
  <c r="LL19" i="6"/>
  <c r="LM19" i="6"/>
  <c r="LN19" i="6"/>
  <c r="LO19" i="6"/>
  <c r="LP19" i="6"/>
  <c r="LQ19" i="6"/>
  <c r="LR19" i="6"/>
  <c r="LS19" i="6"/>
  <c r="LT19" i="6"/>
  <c r="LU19" i="6"/>
  <c r="LV19" i="6"/>
  <c r="LW19" i="6"/>
  <c r="LX19" i="6"/>
  <c r="LY19" i="6"/>
  <c r="LZ19" i="6"/>
  <c r="MA19" i="6"/>
  <c r="MB19" i="6"/>
  <c r="MC19" i="6"/>
  <c r="MD19" i="6"/>
  <c r="ME19" i="6"/>
  <c r="MF19" i="6"/>
  <c r="MG19" i="6"/>
  <c r="MH19" i="6"/>
  <c r="MI19" i="6"/>
  <c r="MJ19" i="6"/>
  <c r="MK19" i="6"/>
  <c r="ML19" i="6"/>
  <c r="MM19" i="6"/>
  <c r="MN19" i="6"/>
  <c r="MO19" i="6"/>
  <c r="MP19" i="6"/>
  <c r="MQ19" i="6"/>
  <c r="MR19" i="6"/>
  <c r="MS19" i="6"/>
  <c r="MT19" i="6"/>
  <c r="MU19" i="6"/>
  <c r="MV19" i="6"/>
  <c r="MW19" i="6"/>
  <c r="MX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EW20" i="6"/>
  <c r="EX20" i="6"/>
  <c r="EY20" i="6"/>
  <c r="EZ20" i="6"/>
  <c r="FA20" i="6"/>
  <c r="FB20" i="6"/>
  <c r="FC20" i="6"/>
  <c r="FD20" i="6"/>
  <c r="FE20" i="6"/>
  <c r="FF20" i="6"/>
  <c r="FG20" i="6"/>
  <c r="FH20" i="6"/>
  <c r="FI20" i="6"/>
  <c r="FJ20" i="6"/>
  <c r="FK20" i="6"/>
  <c r="FL20" i="6"/>
  <c r="FM20" i="6"/>
  <c r="FN20" i="6"/>
  <c r="FO20" i="6"/>
  <c r="FP20" i="6"/>
  <c r="FQ20" i="6"/>
  <c r="FR20" i="6"/>
  <c r="FS20" i="6"/>
  <c r="FT20" i="6"/>
  <c r="FU20" i="6"/>
  <c r="FV20" i="6"/>
  <c r="FW20" i="6"/>
  <c r="FX20" i="6"/>
  <c r="FY20" i="6"/>
  <c r="FZ20" i="6"/>
  <c r="GA20" i="6"/>
  <c r="GB20" i="6"/>
  <c r="GC20" i="6"/>
  <c r="GD20" i="6"/>
  <c r="GE20" i="6"/>
  <c r="GF20" i="6"/>
  <c r="GG20" i="6"/>
  <c r="GH20" i="6"/>
  <c r="GI20" i="6"/>
  <c r="GJ20" i="6"/>
  <c r="GK20" i="6"/>
  <c r="GL20" i="6"/>
  <c r="GM20" i="6"/>
  <c r="GN20" i="6"/>
  <c r="GO20" i="6"/>
  <c r="GP20" i="6"/>
  <c r="GQ20" i="6"/>
  <c r="GR20" i="6"/>
  <c r="GS20" i="6"/>
  <c r="GT20" i="6"/>
  <c r="GU20" i="6"/>
  <c r="GV20" i="6"/>
  <c r="GW20" i="6"/>
  <c r="GX20" i="6"/>
  <c r="GY20" i="6"/>
  <c r="GZ20" i="6"/>
  <c r="HA20" i="6"/>
  <c r="HB20" i="6"/>
  <c r="HC20" i="6"/>
  <c r="HD20" i="6"/>
  <c r="HE20" i="6"/>
  <c r="HF20" i="6"/>
  <c r="HG20" i="6"/>
  <c r="HH20" i="6"/>
  <c r="HI20" i="6"/>
  <c r="HJ20" i="6"/>
  <c r="HK20" i="6"/>
  <c r="HL20" i="6"/>
  <c r="HM20" i="6"/>
  <c r="HN20" i="6"/>
  <c r="HO20" i="6"/>
  <c r="HP20" i="6"/>
  <c r="HQ20" i="6"/>
  <c r="HR20" i="6"/>
  <c r="HS20" i="6"/>
  <c r="HT20" i="6"/>
  <c r="HU20" i="6"/>
  <c r="HV20" i="6"/>
  <c r="HW20" i="6"/>
  <c r="HX20" i="6"/>
  <c r="HY20" i="6"/>
  <c r="HZ20" i="6"/>
  <c r="IA20" i="6"/>
  <c r="IB20" i="6"/>
  <c r="IC20" i="6"/>
  <c r="ID20" i="6"/>
  <c r="IE20" i="6"/>
  <c r="IF20" i="6"/>
  <c r="IG20" i="6"/>
  <c r="IH20" i="6"/>
  <c r="II20" i="6"/>
  <c r="IJ20" i="6"/>
  <c r="IK20" i="6"/>
  <c r="IL20" i="6"/>
  <c r="IM20" i="6"/>
  <c r="IN20" i="6"/>
  <c r="IO20" i="6"/>
  <c r="IP20" i="6"/>
  <c r="IQ20" i="6"/>
  <c r="IR20" i="6"/>
  <c r="IS20" i="6"/>
  <c r="IT20" i="6"/>
  <c r="IU20" i="6"/>
  <c r="IV20" i="6"/>
  <c r="IW20" i="6"/>
  <c r="IX20" i="6"/>
  <c r="IY20" i="6"/>
  <c r="IZ20" i="6"/>
  <c r="JA20" i="6"/>
  <c r="JB20" i="6"/>
  <c r="JC20" i="6"/>
  <c r="JD20" i="6"/>
  <c r="JE20" i="6"/>
  <c r="JF20" i="6"/>
  <c r="JG20" i="6"/>
  <c r="JH20" i="6"/>
  <c r="JI20" i="6"/>
  <c r="JJ20" i="6"/>
  <c r="JK20" i="6"/>
  <c r="JL20" i="6"/>
  <c r="JM20" i="6"/>
  <c r="JN20" i="6"/>
  <c r="JO20" i="6"/>
  <c r="JP20" i="6"/>
  <c r="JQ20" i="6"/>
  <c r="JR20" i="6"/>
  <c r="JS20" i="6"/>
  <c r="JT20" i="6"/>
  <c r="JU20" i="6"/>
  <c r="JV20" i="6"/>
  <c r="JW20" i="6"/>
  <c r="JX20" i="6"/>
  <c r="JY20" i="6"/>
  <c r="JZ20" i="6"/>
  <c r="KA20" i="6"/>
  <c r="KB20" i="6"/>
  <c r="KC20" i="6"/>
  <c r="KD20" i="6"/>
  <c r="KE20" i="6"/>
  <c r="KF20" i="6"/>
  <c r="KG20" i="6"/>
  <c r="KH20" i="6"/>
  <c r="KI20" i="6"/>
  <c r="KJ20" i="6"/>
  <c r="KK20" i="6"/>
  <c r="KL20" i="6"/>
  <c r="KM20" i="6"/>
  <c r="KN20" i="6"/>
  <c r="KO20" i="6"/>
  <c r="KP20" i="6"/>
  <c r="KQ20" i="6"/>
  <c r="KR20" i="6"/>
  <c r="KS20" i="6"/>
  <c r="KT20" i="6"/>
  <c r="KU20" i="6"/>
  <c r="KV20" i="6"/>
  <c r="KW20" i="6"/>
  <c r="KX20" i="6"/>
  <c r="KY20" i="6"/>
  <c r="KZ20" i="6"/>
  <c r="LA20" i="6"/>
  <c r="LB20" i="6"/>
  <c r="LC20" i="6"/>
  <c r="LD20" i="6"/>
  <c r="LE20" i="6"/>
  <c r="LF20" i="6"/>
  <c r="LG20" i="6"/>
  <c r="LH20" i="6"/>
  <c r="LI20" i="6"/>
  <c r="LJ20" i="6"/>
  <c r="LK20" i="6"/>
  <c r="LL20" i="6"/>
  <c r="LM20" i="6"/>
  <c r="LN20" i="6"/>
  <c r="LO20" i="6"/>
  <c r="LP20" i="6"/>
  <c r="LQ20" i="6"/>
  <c r="LR20" i="6"/>
  <c r="LS20" i="6"/>
  <c r="LT20" i="6"/>
  <c r="LU20" i="6"/>
  <c r="LV20" i="6"/>
  <c r="LW20" i="6"/>
  <c r="LX20" i="6"/>
  <c r="LY20" i="6"/>
  <c r="LZ20" i="6"/>
  <c r="MA20" i="6"/>
  <c r="MB20" i="6"/>
  <c r="MC20" i="6"/>
  <c r="MD20" i="6"/>
  <c r="ME20" i="6"/>
  <c r="MF20" i="6"/>
  <c r="MG20" i="6"/>
  <c r="MH20" i="6"/>
  <c r="MI20" i="6"/>
  <c r="MJ20" i="6"/>
  <c r="MK20" i="6"/>
  <c r="ML20" i="6"/>
  <c r="MM20" i="6"/>
  <c r="MN20" i="6"/>
  <c r="MO20" i="6"/>
  <c r="MP20" i="6"/>
  <c r="MQ20" i="6"/>
  <c r="MR20" i="6"/>
  <c r="MS20" i="6"/>
  <c r="MT20" i="6"/>
  <c r="MU20" i="6"/>
  <c r="MV20" i="6"/>
  <c r="MW20" i="6"/>
  <c r="MX20" i="6"/>
  <c r="C20" i="6"/>
  <c r="C19" i="6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E7" i="9" l="1"/>
  <c r="D7" i="9" s="1"/>
  <c r="E5" i="9"/>
  <c r="D5" i="9" s="1"/>
  <c r="E6" i="9"/>
  <c r="D6" i="9" s="1"/>
  <c r="E16" i="9"/>
  <c r="D16" i="9" s="1"/>
  <c r="E9" i="9"/>
  <c r="D9" i="9" s="1"/>
  <c r="E8" i="9"/>
  <c r="D8" i="9" s="1"/>
  <c r="E15" i="9"/>
  <c r="D15" i="9" s="1"/>
  <c r="L65" i="4"/>
  <c r="M54" i="4"/>
  <c r="L54" i="4" s="1"/>
  <c r="M55" i="4"/>
  <c r="K55" i="4" s="1"/>
  <c r="M56" i="4"/>
  <c r="K56" i="4" s="1"/>
  <c r="M57" i="4"/>
  <c r="L57" i="4" s="1"/>
  <c r="M53" i="4"/>
  <c r="L53" i="4" s="1"/>
  <c r="R39" i="4"/>
  <c r="S39" i="4"/>
  <c r="T39" i="4"/>
  <c r="Q39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2" i="1"/>
  <c r="N40" i="4" s="1"/>
  <c r="M16" i="4"/>
  <c r="M17" i="4"/>
  <c r="M18" i="4"/>
  <c r="M19" i="4"/>
  <c r="M20" i="4"/>
  <c r="M21" i="4"/>
  <c r="M22" i="4"/>
  <c r="M15" i="4"/>
  <c r="L16" i="4"/>
  <c r="L17" i="4"/>
  <c r="L18" i="4"/>
  <c r="L19" i="4"/>
  <c r="L20" i="4"/>
  <c r="L21" i="4"/>
  <c r="L22" i="4"/>
  <c r="L15" i="4"/>
  <c r="K16" i="4"/>
  <c r="K17" i="4"/>
  <c r="K18" i="4"/>
  <c r="K19" i="4"/>
  <c r="K20" i="4"/>
  <c r="K21" i="4"/>
  <c r="K22" i="4"/>
  <c r="K15" i="4"/>
  <c r="G45" i="4"/>
  <c r="F45" i="4"/>
  <c r="E45" i="4"/>
  <c r="D45" i="4"/>
  <c r="C45" i="4"/>
  <c r="G38" i="4"/>
  <c r="F38" i="4"/>
  <c r="E38" i="4"/>
  <c r="D38" i="4"/>
  <c r="C38" i="4"/>
  <c r="N39" i="4" l="1"/>
  <c r="M42" i="4"/>
  <c r="M41" i="4"/>
  <c r="M40" i="4"/>
  <c r="N53" i="4"/>
  <c r="N54" i="4"/>
  <c r="K54" i="4"/>
  <c r="L56" i="4"/>
  <c r="M39" i="4"/>
  <c r="L42" i="4"/>
  <c r="L41" i="4"/>
  <c r="L40" i="4"/>
  <c r="N57" i="4"/>
  <c r="K57" i="4"/>
  <c r="K53" i="4"/>
  <c r="L55" i="4"/>
  <c r="L39" i="4"/>
  <c r="K42" i="4"/>
  <c r="K41" i="4"/>
  <c r="K40" i="4"/>
  <c r="N56" i="4"/>
  <c r="K39" i="4"/>
  <c r="N42" i="4"/>
  <c r="N41" i="4"/>
  <c r="N55" i="4"/>
  <c r="MX16" i="6"/>
  <c r="MS16" i="6"/>
  <c r="MI16" i="6"/>
  <c r="MF16" i="6"/>
  <c r="MD16" i="6"/>
  <c r="MC16" i="6"/>
  <c r="MB16" i="6"/>
  <c r="LY16" i="6"/>
  <c r="LT16" i="6"/>
  <c r="LR16" i="6"/>
  <c r="LO16" i="6"/>
  <c r="LN16" i="6"/>
  <c r="LM16" i="6"/>
  <c r="LL16" i="6"/>
  <c r="LJ16" i="6"/>
  <c r="LH16" i="6"/>
  <c r="LF16" i="6"/>
  <c r="LE16" i="6"/>
  <c r="LA16" i="6"/>
  <c r="KZ16" i="6"/>
  <c r="KY16" i="6"/>
  <c r="KX16" i="6"/>
  <c r="KV16" i="6"/>
  <c r="KU16" i="6"/>
  <c r="KS16" i="6"/>
  <c r="KQ16" i="6"/>
  <c r="KP16" i="6"/>
  <c r="KL16" i="6"/>
  <c r="KJ16" i="6"/>
  <c r="KF16" i="6"/>
  <c r="KE16" i="6"/>
  <c r="KA16" i="6"/>
  <c r="JW16" i="6"/>
  <c r="JV16" i="6"/>
  <c r="JS16" i="6"/>
  <c r="JM16" i="6"/>
  <c r="JH16" i="6"/>
  <c r="JD16" i="6"/>
  <c r="JB16" i="6"/>
  <c r="IS16" i="6"/>
  <c r="IQ16" i="6"/>
  <c r="IN16" i="6"/>
  <c r="II16" i="6"/>
  <c r="IE16" i="6"/>
  <c r="IB16" i="6"/>
  <c r="HV16" i="6"/>
  <c r="HS16" i="6"/>
  <c r="HC16" i="6"/>
  <c r="GP16" i="6"/>
  <c r="GK16" i="6"/>
  <c r="FK16" i="6"/>
  <c r="FF16" i="6"/>
  <c r="FA16" i="6"/>
  <c r="EQ16" i="6"/>
  <c r="EH16" i="6"/>
  <c r="EC16" i="6"/>
  <c r="EB16" i="6"/>
  <c r="DW16" i="6"/>
  <c r="DU16" i="6"/>
  <c r="DH16" i="6"/>
  <c r="DC16" i="6"/>
  <c r="CY16" i="6"/>
  <c r="BY16" i="6"/>
  <c r="BO16" i="6"/>
  <c r="BA16" i="6"/>
  <c r="AX16" i="6"/>
  <c r="AJ16" i="6"/>
  <c r="AI16" i="6"/>
  <c r="AB16" i="6"/>
  <c r="X16" i="6"/>
  <c r="W16" i="6"/>
  <c r="U16" i="6"/>
  <c r="R16" i="6"/>
  <c r="N16" i="6"/>
  <c r="M16" i="6"/>
  <c r="H16" i="6"/>
  <c r="D16" i="6"/>
  <c r="MX15" i="6"/>
  <c r="MT15" i="6"/>
  <c r="MS15" i="6"/>
  <c r="MO15" i="6"/>
  <c r="MN15" i="6"/>
  <c r="MJ15" i="6"/>
  <c r="MI15" i="6"/>
  <c r="MF15" i="6"/>
  <c r="MD15" i="6"/>
  <c r="LZ15" i="6"/>
  <c r="LY15" i="6"/>
  <c r="LU15" i="6"/>
  <c r="LS15" i="6"/>
  <c r="LP15" i="6"/>
  <c r="LO15" i="6"/>
  <c r="LK15" i="6"/>
  <c r="LF15" i="6"/>
  <c r="LA15" i="6"/>
  <c r="KZ15" i="6"/>
  <c r="KY15" i="6"/>
  <c r="KW15" i="6"/>
  <c r="KV15" i="6"/>
  <c r="KU15" i="6"/>
  <c r="KT15" i="6"/>
  <c r="KS15" i="6"/>
  <c r="KR15" i="6"/>
  <c r="KQ15" i="6"/>
  <c r="MT14" i="6"/>
  <c r="MS14" i="6"/>
  <c r="MO14" i="6"/>
  <c r="MN14" i="6"/>
  <c r="MJ14" i="6"/>
  <c r="MI14" i="6"/>
  <c r="MH14" i="6"/>
  <c r="ME14" i="6"/>
  <c r="MD14" i="6"/>
  <c r="LY14" i="6"/>
  <c r="LW14" i="6"/>
  <c r="LV14" i="6"/>
  <c r="LU14" i="6"/>
  <c r="LT14" i="6"/>
  <c r="LP14" i="6"/>
  <c r="LO14" i="6"/>
  <c r="LK14" i="6"/>
  <c r="LJ14" i="6"/>
  <c r="LF14" i="6"/>
  <c r="LE14" i="6"/>
  <c r="LA14" i="6"/>
  <c r="KZ14" i="6"/>
  <c r="KV14" i="6"/>
  <c r="KU14" i="6"/>
  <c r="KS14" i="6"/>
  <c r="KR14" i="6"/>
  <c r="KL14" i="6"/>
  <c r="KK14" i="6"/>
  <c r="KG14" i="6"/>
  <c r="KB14" i="6"/>
  <c r="JT14" i="6"/>
  <c r="JR14" i="6"/>
  <c r="JQ14" i="6"/>
  <c r="JP14" i="6"/>
  <c r="JO14" i="6"/>
  <c r="JN14" i="6"/>
  <c r="JM14" i="6"/>
  <c r="JL14" i="6"/>
  <c r="JK14" i="6"/>
  <c r="JG14" i="6"/>
  <c r="JC14" i="6"/>
  <c r="JB14" i="6"/>
  <c r="IZ14" i="6"/>
  <c r="IX14" i="6"/>
  <c r="IW14" i="6"/>
  <c r="IV14" i="6"/>
  <c r="IU14" i="6"/>
  <c r="IS14" i="6"/>
  <c r="IR14" i="6"/>
  <c r="IO14" i="6"/>
  <c r="IM14" i="6"/>
  <c r="IG14" i="6"/>
  <c r="ID14" i="6"/>
  <c r="HR14" i="6"/>
  <c r="HP14" i="6"/>
  <c r="HN14" i="6"/>
  <c r="HL14" i="6"/>
  <c r="HK14" i="6"/>
  <c r="HJ14" i="6"/>
  <c r="HG14" i="6"/>
  <c r="HC14" i="6"/>
  <c r="HB14" i="6"/>
  <c r="HA14" i="6"/>
  <c r="GZ14" i="6"/>
  <c r="GY14" i="6"/>
  <c r="GT14" i="6"/>
  <c r="FZ14" i="6"/>
  <c r="FU14" i="6"/>
  <c r="FS14" i="6"/>
  <c r="FP14" i="6"/>
  <c r="FK14" i="6"/>
  <c r="FF14" i="6"/>
  <c r="FA14" i="6"/>
  <c r="EQ14" i="6"/>
  <c r="EG14" i="6"/>
  <c r="EB14" i="6"/>
  <c r="DW14" i="6"/>
  <c r="DM14" i="6"/>
  <c r="DH14" i="6"/>
  <c r="DC14" i="6"/>
  <c r="CX14" i="6"/>
  <c r="CS14" i="6"/>
  <c r="CN14" i="6"/>
  <c r="CI14" i="6"/>
  <c r="CD14" i="6"/>
  <c r="BY14" i="6"/>
  <c r="BT14" i="6"/>
  <c r="BM14" i="6"/>
  <c r="BJ14" i="6"/>
  <c r="AY14" i="6"/>
  <c r="AT14" i="6"/>
  <c r="AN14" i="6"/>
  <c r="U14" i="6"/>
  <c r="K14" i="6"/>
  <c r="MX13" i="6"/>
  <c r="MS13" i="6"/>
  <c r="MH13" i="6"/>
  <c r="MD13" i="6"/>
  <c r="LY13" i="6"/>
  <c r="LX13" i="6"/>
  <c r="LV13" i="6"/>
  <c r="LT13" i="6"/>
  <c r="LS13" i="6"/>
  <c r="LO13" i="6"/>
  <c r="LN13" i="6"/>
  <c r="LL13" i="6"/>
  <c r="LI13" i="6"/>
  <c r="LH13" i="6"/>
  <c r="LB13" i="6"/>
  <c r="LA13" i="6"/>
  <c r="KY13" i="6"/>
  <c r="KX13" i="6"/>
  <c r="KV13" i="6"/>
  <c r="KU13" i="6"/>
  <c r="KR13" i="6"/>
  <c r="KP13" i="6"/>
  <c r="KO13" i="6"/>
  <c r="KK13" i="6"/>
  <c r="KF13" i="6"/>
  <c r="KE13" i="6"/>
  <c r="KA13" i="6"/>
  <c r="JV13" i="6"/>
  <c r="JU13" i="6"/>
  <c r="JT13" i="6"/>
  <c r="JQ13" i="6"/>
  <c r="JM13" i="6"/>
  <c r="JL13" i="6"/>
  <c r="JK13" i="6"/>
  <c r="JH13" i="6"/>
  <c r="JG13" i="6"/>
  <c r="JF13" i="6"/>
  <c r="JE13" i="6"/>
  <c r="JB13" i="6"/>
  <c r="IW13" i="6"/>
  <c r="IR13" i="6"/>
  <c r="IM13" i="6"/>
  <c r="IF13" i="6"/>
  <c r="IE13" i="6"/>
  <c r="HY13" i="6"/>
  <c r="HX13" i="6"/>
  <c r="HT13" i="6"/>
  <c r="HD13" i="6"/>
  <c r="GR13" i="6"/>
  <c r="GO13" i="6"/>
  <c r="GH13" i="6"/>
  <c r="GE13" i="6"/>
  <c r="GC13" i="6"/>
  <c r="FY13" i="6"/>
  <c r="FV13" i="6"/>
  <c r="FU13" i="6"/>
  <c r="EG13" i="6"/>
  <c r="DW13" i="6"/>
  <c r="DR13" i="6"/>
  <c r="DM13" i="6"/>
  <c r="DH13" i="6"/>
  <c r="DC13" i="6"/>
  <c r="CZ13" i="6"/>
  <c r="CY13" i="6"/>
  <c r="CX13" i="6"/>
  <c r="CS13" i="6"/>
  <c r="CR13" i="6"/>
  <c r="BS13" i="6"/>
  <c r="BQ13" i="6"/>
  <c r="BG13" i="6"/>
  <c r="AW13" i="6"/>
  <c r="AI13" i="6"/>
  <c r="AG13" i="6"/>
  <c r="I13" i="6"/>
  <c r="E13" i="6"/>
  <c r="MX12" i="6"/>
  <c r="MT12" i="6"/>
  <c r="MS12" i="6"/>
  <c r="MO12" i="6"/>
  <c r="MN12" i="6"/>
  <c r="MM12" i="6"/>
  <c r="ML12" i="6"/>
  <c r="MJ12" i="6"/>
  <c r="MI12" i="6"/>
  <c r="MH12" i="6"/>
  <c r="MG12" i="6"/>
  <c r="MF12" i="6"/>
  <c r="ME12" i="6"/>
  <c r="MD12" i="6"/>
  <c r="MC12" i="6"/>
  <c r="MA12" i="6"/>
  <c r="LY12" i="6"/>
  <c r="LT12" i="6"/>
  <c r="LQ12" i="6"/>
  <c r="LO12" i="6"/>
  <c r="LM12" i="6"/>
  <c r="LJ12" i="6"/>
  <c r="LI12" i="6"/>
  <c r="LD12" i="6"/>
  <c r="LB12" i="6"/>
  <c r="LA12" i="6"/>
  <c r="KT12" i="6"/>
  <c r="KS12" i="6"/>
  <c r="KP12" i="6"/>
  <c r="KA12" i="6"/>
  <c r="JW12" i="6"/>
  <c r="JQ12" i="6"/>
  <c r="JG12" i="6"/>
  <c r="JF12" i="6"/>
  <c r="IO12" i="6"/>
  <c r="MO11" i="6"/>
  <c r="MK11" i="6"/>
  <c r="MJ11" i="6"/>
  <c r="MG11" i="6"/>
  <c r="ME11" i="6"/>
  <c r="LZ11" i="6"/>
  <c r="LY11" i="6"/>
  <c r="LU11" i="6"/>
  <c r="LT11" i="6"/>
  <c r="LS11" i="6"/>
  <c r="LP11" i="6"/>
  <c r="LO11" i="6"/>
  <c r="LM11" i="6"/>
  <c r="LL11" i="6"/>
  <c r="LJ11" i="6"/>
  <c r="LG11" i="6"/>
  <c r="LF11" i="6"/>
  <c r="LD11" i="6"/>
  <c r="LC11" i="6"/>
  <c r="LA11" i="6"/>
  <c r="KY11" i="6"/>
  <c r="KW11" i="6"/>
  <c r="KV11" i="6"/>
  <c r="KU11" i="6"/>
  <c r="KQ11" i="6"/>
  <c r="KP11" i="6"/>
  <c r="KN11" i="6"/>
  <c r="KL11" i="6"/>
  <c r="KK11" i="6"/>
  <c r="KF11" i="6"/>
  <c r="KB11" i="6"/>
  <c r="KA11" i="6"/>
  <c r="JW11" i="6"/>
  <c r="JU11" i="6"/>
  <c r="JR11" i="6"/>
  <c r="JO11" i="6"/>
  <c r="JN11" i="6"/>
  <c r="JM11" i="6"/>
  <c r="JC11" i="6"/>
  <c r="IS11" i="6"/>
  <c r="IR11" i="6"/>
  <c r="IN11" i="6"/>
  <c r="IM11" i="6"/>
  <c r="IL11" i="6"/>
  <c r="II11" i="6"/>
  <c r="IF11" i="6"/>
  <c r="ID11" i="6"/>
  <c r="IA11" i="6"/>
  <c r="HY11" i="6"/>
  <c r="HT11" i="6"/>
  <c r="HS11" i="6"/>
  <c r="HO11" i="6"/>
  <c r="HN11" i="6"/>
  <c r="HJ11" i="6"/>
  <c r="HI11" i="6"/>
  <c r="HE11" i="6"/>
  <c r="HD11" i="6"/>
  <c r="HB11" i="6"/>
  <c r="GZ11" i="6"/>
  <c r="GY11" i="6"/>
  <c r="GU11" i="6"/>
  <c r="GT11" i="6"/>
  <c r="GO11" i="6"/>
  <c r="GK11" i="6"/>
  <c r="GJ11" i="6"/>
  <c r="GE11" i="6"/>
  <c r="GB11" i="6"/>
  <c r="FX11" i="6"/>
  <c r="FU11" i="6"/>
  <c r="FL11" i="6"/>
  <c r="FK11" i="6"/>
  <c r="FF11" i="6"/>
  <c r="FA11" i="6"/>
  <c r="EQ11" i="6"/>
  <c r="EM11" i="6"/>
  <c r="EK11" i="6"/>
  <c r="EJ11" i="6"/>
  <c r="EI11" i="6"/>
  <c r="EH11" i="6"/>
  <c r="EG11" i="6"/>
  <c r="EF11" i="6"/>
  <c r="EE11" i="6"/>
  <c r="EB11" i="6"/>
  <c r="DW11" i="6"/>
  <c r="DR11" i="6"/>
  <c r="DM11" i="6"/>
  <c r="DJ11" i="6"/>
  <c r="DH11" i="6"/>
  <c r="DD11" i="6"/>
  <c r="DC11" i="6"/>
  <c r="CY11" i="6"/>
  <c r="CM11" i="6"/>
  <c r="BX11" i="6"/>
  <c r="BI11" i="6"/>
  <c r="BG11" i="6"/>
  <c r="BD11" i="6"/>
  <c r="BC11" i="6"/>
  <c r="AW11" i="6"/>
  <c r="AT11" i="6"/>
  <c r="AR11" i="6"/>
  <c r="AO11" i="6"/>
  <c r="AJ11" i="6"/>
  <c r="AE11" i="6"/>
  <c r="AB11" i="6"/>
  <c r="Y11" i="6"/>
  <c r="X11" i="6"/>
  <c r="U11" i="6"/>
  <c r="S11" i="6"/>
  <c r="R11" i="6"/>
  <c r="P11" i="6"/>
  <c r="O11" i="6"/>
  <c r="K11" i="6"/>
  <c r="H11" i="6"/>
  <c r="F11" i="6"/>
  <c r="D11" i="6"/>
  <c r="FA10" i="6"/>
  <c r="DR10" i="6"/>
  <c r="DC10" i="6"/>
  <c r="BH10" i="6"/>
  <c r="AH10" i="6"/>
  <c r="N10" i="6"/>
  <c r="MX9" i="6"/>
  <c r="MS9" i="6"/>
  <c r="MD9" i="6"/>
  <c r="KP9" i="6"/>
  <c r="KK9" i="6"/>
  <c r="JU9" i="6"/>
  <c r="JL9" i="6"/>
  <c r="JG9" i="6"/>
  <c r="JD9" i="6"/>
  <c r="JB9" i="6"/>
  <c r="IX9" i="6"/>
  <c r="IT9" i="6"/>
  <c r="HO9" i="6"/>
  <c r="GY9" i="6"/>
  <c r="GJ9" i="6"/>
  <c r="GH9" i="6"/>
  <c r="FZ9" i="6"/>
  <c r="FF9" i="6"/>
  <c r="DH9" i="6"/>
  <c r="DC9" i="6"/>
  <c r="CX9" i="6"/>
  <c r="CS9" i="6"/>
  <c r="CR9" i="6"/>
  <c r="BT9" i="6"/>
  <c r="BO9" i="6"/>
  <c r="BJ9" i="6"/>
  <c r="MX8" i="6"/>
  <c r="MS8" i="6"/>
  <c r="MN8" i="6"/>
  <c r="MM8" i="6"/>
  <c r="MI8" i="6"/>
  <c r="ME8" i="6"/>
  <c r="MD8" i="6"/>
  <c r="LY8" i="6"/>
  <c r="LT8" i="6"/>
  <c r="LO8" i="6"/>
  <c r="LN8" i="6"/>
  <c r="LM8" i="6"/>
  <c r="LJ8" i="6"/>
  <c r="LE8" i="6"/>
  <c r="LC8" i="6"/>
  <c r="KZ8" i="6"/>
  <c r="KU8" i="6"/>
  <c r="KT8" i="6"/>
  <c r="KR8" i="6"/>
  <c r="KP8" i="6"/>
  <c r="KK8" i="6"/>
  <c r="KF8" i="6"/>
  <c r="KA8" i="6"/>
  <c r="JY8" i="6"/>
  <c r="JV8" i="6"/>
  <c r="JT8" i="6"/>
  <c r="JQ8" i="6"/>
  <c r="JP8" i="6"/>
  <c r="JL8" i="6"/>
  <c r="MX7" i="6"/>
  <c r="MS7" i="6"/>
  <c r="MN7" i="6"/>
  <c r="MD7" i="6"/>
  <c r="MC7" i="6"/>
  <c r="LL7" i="6"/>
  <c r="LI7" i="6"/>
  <c r="LH7" i="6"/>
  <c r="KU7" i="6"/>
  <c r="KP7" i="6"/>
  <c r="KK7" i="6"/>
  <c r="KF7" i="6"/>
  <c r="KE7" i="6"/>
  <c r="KA7" i="6"/>
  <c r="JN7" i="6"/>
  <c r="JM7" i="6"/>
  <c r="JI7" i="6"/>
  <c r="JH7" i="6"/>
  <c r="JG7" i="6"/>
  <c r="JF7" i="6"/>
  <c r="JE7" i="6"/>
  <c r="JB7" i="6"/>
  <c r="IW7" i="6"/>
  <c r="IR7" i="6"/>
  <c r="IM7" i="6"/>
  <c r="II7" i="6"/>
  <c r="IH7" i="6"/>
  <c r="IG7" i="6"/>
  <c r="IF7" i="6"/>
  <c r="IE7" i="6"/>
  <c r="ID7" i="6"/>
  <c r="IC7" i="6"/>
  <c r="IB7" i="6"/>
  <c r="IA7" i="6"/>
  <c r="HZ7" i="6"/>
  <c r="HX7" i="6"/>
  <c r="HS7" i="6"/>
  <c r="HN7" i="6"/>
  <c r="HI7" i="6"/>
  <c r="HE7" i="6"/>
  <c r="HD7" i="6"/>
  <c r="GY7" i="6"/>
  <c r="GJ7" i="6"/>
  <c r="FP7" i="6"/>
  <c r="FF7" i="6"/>
  <c r="FA7" i="6"/>
  <c r="EL7" i="6"/>
  <c r="EG7" i="6"/>
  <c r="EF7" i="6"/>
  <c r="EE7" i="6"/>
  <c r="EB7" i="6"/>
  <c r="DW7" i="6"/>
  <c r="DR7" i="6"/>
  <c r="DM7" i="6"/>
  <c r="DJ7" i="6"/>
  <c r="DH7" i="6"/>
  <c r="DC7" i="6"/>
  <c r="CX7" i="6"/>
  <c r="CS7" i="6"/>
  <c r="CN7" i="6"/>
  <c r="CI7" i="6"/>
  <c r="CD7" i="6"/>
  <c r="CA7" i="6"/>
  <c r="BZ7" i="6"/>
  <c r="BY7" i="6"/>
  <c r="BW7" i="6"/>
  <c r="BV7" i="6"/>
  <c r="BT7" i="6"/>
  <c r="BS7" i="6"/>
  <c r="BO7" i="6"/>
  <c r="BK7" i="6"/>
  <c r="BJ7" i="6"/>
  <c r="BI7" i="6"/>
  <c r="BH7" i="6"/>
  <c r="BG7" i="6"/>
  <c r="BD7" i="6"/>
  <c r="BC7" i="6"/>
  <c r="BB7" i="6"/>
  <c r="BA7" i="6"/>
  <c r="AY7" i="6"/>
  <c r="AX7" i="6"/>
  <c r="AW7" i="6"/>
  <c r="AV7" i="6"/>
  <c r="AT7" i="6"/>
  <c r="AS7" i="6"/>
  <c r="AR7" i="6"/>
  <c r="AQ7" i="6"/>
  <c r="AN7" i="6"/>
  <c r="AM7" i="6"/>
  <c r="AL7" i="6"/>
  <c r="AJ7" i="6"/>
  <c r="AH7" i="6"/>
  <c r="AD7" i="6"/>
  <c r="AC7" i="6"/>
  <c r="AB7" i="6"/>
  <c r="Z7" i="6"/>
  <c r="Y7" i="6"/>
  <c r="X7" i="6"/>
  <c r="W7" i="6"/>
  <c r="U7" i="6"/>
  <c r="T7" i="6"/>
  <c r="S7" i="6"/>
  <c r="R7" i="6"/>
  <c r="P7" i="6"/>
  <c r="O7" i="6"/>
  <c r="N7" i="6"/>
  <c r="M7" i="6"/>
  <c r="K7" i="6"/>
  <c r="J7" i="6"/>
  <c r="I7" i="6"/>
  <c r="H7" i="6"/>
  <c r="E7" i="6"/>
  <c r="D7" i="6"/>
  <c r="GO6" i="6"/>
  <c r="CL6" i="6"/>
  <c r="CC6" i="6"/>
  <c r="CA6" i="6"/>
  <c r="BW6" i="6"/>
  <c r="AD6" i="6"/>
  <c r="E6" i="6"/>
  <c r="JW4" i="6"/>
  <c r="IB3" i="6"/>
  <c r="GL3" i="6"/>
  <c r="FX3" i="6"/>
  <c r="FT3" i="6"/>
  <c r="FO3" i="6"/>
  <c r="FJ3" i="6"/>
  <c r="EJ3" i="6"/>
  <c r="EH3" i="6"/>
  <c r="DL3" i="6"/>
  <c r="BN3" i="6"/>
  <c r="BD3" i="6"/>
  <c r="P3" i="6"/>
  <c r="F3" i="6"/>
  <c r="D3" i="6"/>
  <c r="M43" i="4" l="1"/>
  <c r="K43" i="4"/>
  <c r="L43" i="4"/>
  <c r="N43" i="4"/>
</calcChain>
</file>

<file path=xl/sharedStrings.xml><?xml version="1.0" encoding="utf-8"?>
<sst xmlns="http://schemas.openxmlformats.org/spreadsheetml/2006/main" count="37793" uniqueCount="15198">
  <si>
    <t>Descrição</t>
  </si>
  <si>
    <t>Código</t>
  </si>
  <si>
    <t>Origem</t>
  </si>
  <si>
    <t>Data de Validade</t>
  </si>
  <si>
    <t>Custo de Produção</t>
  </si>
  <si>
    <t>País de Destino</t>
  </si>
  <si>
    <t>MA</t>
  </si>
  <si>
    <t>Holanda</t>
  </si>
  <si>
    <t>AL</t>
  </si>
  <si>
    <t>Austrália</t>
  </si>
  <si>
    <t>GO</t>
  </si>
  <si>
    <t>Panamá</t>
  </si>
  <si>
    <t>RJ</t>
  </si>
  <si>
    <t>SP</t>
  </si>
  <si>
    <t>Espanha</t>
  </si>
  <si>
    <t>ES</t>
  </si>
  <si>
    <t>MG</t>
  </si>
  <si>
    <t>H445H467</t>
  </si>
  <si>
    <t>H484H675</t>
  </si>
  <si>
    <t>H485H921</t>
  </si>
  <si>
    <t>H298P268</t>
  </si>
  <si>
    <t>P577H891</t>
  </si>
  <si>
    <t>P469P428</t>
  </si>
  <si>
    <t>Estado</t>
  </si>
  <si>
    <t>Região</t>
  </si>
  <si>
    <t>Nordeste</t>
  </si>
  <si>
    <t>Sudeste</t>
  </si>
  <si>
    <t>Centro-Oeste</t>
  </si>
  <si>
    <t>Na Base 1 existem códigos que aparecem mais do que uma vez na lista. Qual é o número máximo de aparições de um mesmo código na lista?</t>
  </si>
  <si>
    <t>Monte um quadro resumo com o custo total de produção levando em consideração a Região de Origem e o País de Destino.</t>
  </si>
  <si>
    <t>Norte</t>
  </si>
  <si>
    <t>Para qual país irão mais produtos em quantidade de produtos? E em valor?</t>
  </si>
  <si>
    <t>Quantidade</t>
  </si>
  <si>
    <t>Valor</t>
  </si>
  <si>
    <t>Monte uma tabela com os TOP 5 produtos com maior Custo de Produção. Complemente com as demais informações pedidas.</t>
  </si>
  <si>
    <t>TOP 5</t>
  </si>
  <si>
    <t>Formate a base de dados, aplicando formatação de moeda e de data abreviada nas colunas que se adequam. Ajuste também a largura das colunas e as cores das células: o preenchimento da primeira linha deve ser azul, o preenchimento das demais linhas será cinza e a cor da fonte de todas as linhas será preta. Use os tons das células abaixo:</t>
  </si>
  <si>
    <t>Fonte</t>
  </si>
  <si>
    <t>O que é necessário para adicionar uma segmentação de dados nessa base de dados sem o uso de tabela dinâmica?</t>
  </si>
  <si>
    <t>Formate a base como tabela, sem perder a formatação aplicada no exercício dois.</t>
  </si>
  <si>
    <t>Separe as informações da base, deixando cada campo em uma coluna. Oculte as linhas de grade da planilha</t>
  </si>
  <si>
    <t>Adicione uma formatação condicional de semáforo, colocando sinal vermelho quando custo de produção for maior que R$100.000, sinal amarelo com custo entre R$50.000 e R$100.000 e sinal verde quando for menor que R$50.000</t>
  </si>
  <si>
    <t>Preencha as células abaixo com o o somatório, média, contagem, valor máximo e mínimo da coluna de custo de produção. Esses valores precisam ser recalculados automaticamente quando os valores da base forem alterados</t>
  </si>
  <si>
    <t>Somatório</t>
  </si>
  <si>
    <t>Média</t>
  </si>
  <si>
    <t>Contagem</t>
  </si>
  <si>
    <t>Máximo</t>
  </si>
  <si>
    <t>Mínimo</t>
  </si>
  <si>
    <t>Agora preencha o resumo abaixo com as mesmas informações do exercício anterior, mas de forma que os valores sejam atualizados quando os filtros aplicados na base de dados forem alterados.</t>
  </si>
  <si>
    <t>Crie um filtro na base de dados e ordene a base de acordo com a data de validade (do mais antigo para o mais novo)</t>
  </si>
  <si>
    <t>Utilizando a mesma estrutura do exercício anterior, preencha a tabela abaixo considerando apenas as linhas com origem RJ. É necessária alguma alteração na fórmula?</t>
  </si>
  <si>
    <t>Utilizando a mesma estrutura do exercício anterior, preencha a tabela abaixo considerando apenas as linhas com custo maior que R$70.000.</t>
  </si>
  <si>
    <t>Utilizando a mesma estrutura do exercício anterior, preencha a tabela abaixo considerando apenas as linhas com data de validade entre 2025 e 2027</t>
  </si>
  <si>
    <t>Pinte o preenchimento das células da coluna País de Destino. A cor da célula deve mudar automaticamente quando o País for alterado. Cada país terá uma cor específica conforme abaixo:</t>
  </si>
  <si>
    <t>Crie na base de dados uma coluna com a chave do produto. Essa chave será a junção do código do produto, seu nome e estado de origem no seguinte formato: nome-código/origem. Por exemplo, o produto de nome Nocogifo, código P931H285 e origem MA terá a chave Nocogifo-P931H285/MA</t>
  </si>
  <si>
    <t>Impeça que seja inserido qualquer produto com data de validade do ano 2023 ou menor. Ao tentar inserir essa data de validade, a planilha deverá exibir a seguinte mensagem: "ATENÇÃO! Só são permitidos produtos com data de validade a partir do ano de 2024."</t>
  </si>
  <si>
    <t>Crie uma coluna na base de dados com as Regiões de Origem de cada produto de acordo com os Estados de Origem.</t>
  </si>
  <si>
    <t>Conceitos Introdutórios</t>
  </si>
  <si>
    <t>Atalhos</t>
  </si>
  <si>
    <t>Formatação</t>
  </si>
  <si>
    <t>Funções Básicas</t>
  </si>
  <si>
    <t>Classificar e Filtrar</t>
  </si>
  <si>
    <t>Ferramentas de Dados</t>
  </si>
  <si>
    <t>Funções Mercado de Trabalho.</t>
  </si>
  <si>
    <t>Sugiro fortemente que assista todas as aulas dos módulos acima antes de responder as questões a seguir.</t>
  </si>
  <si>
    <t>H3643212</t>
  </si>
  <si>
    <t>P6545323</t>
  </si>
  <si>
    <t>Qual a descrição, origem e data de validade dos 8 códigos abaixo? Não faça qualquer alteração na base de dados para responder essa pergunta. Caso algum código não seja encontrado, exibir a mensagem "não encontrado".</t>
  </si>
  <si>
    <t>Crie uma coluna na base de dados com a urgência de envio dos produtos. Produtos com validade até 31/12/2025 e valor acima de R$50.000,00 terão o valor "Urgente e Caro". Produtos com validade até 31/12/2025 e valor abaixo ou igual a R$50.000,00 terão o valor "Urgente". Produtos com validade entre 2026 e 2028 e custo acima de R$50.000 terão o valor "Pendente e caro". Produtos com validade entre 2026 e 2028 e custo abaixo ou igual a R$50.000 terão o valor "Pendente". Produtos com validade a partir de 2029 terão o valor "Não prioritário" independente de seu custo.</t>
  </si>
  <si>
    <t>Após responder todas as questões, assista as demais aulas desse módulo para acompanhar a correção de cada pergunta.</t>
  </si>
  <si>
    <t>Preste atenção nos enunciados. Entendender as questões já faz parte do exercício, da mesma forma que entender as questões em um processo seletivo e as demandas do seu chefe é uma forma de avaliar seu trabalho e conhecimento de Excel.</t>
  </si>
  <si>
    <t>O objetivo desses exercícios é apenas desenvolver seu conhecimento e prática com as ferramentas e fórmulas do Excel aprendidas até agora. Você não receberá uma nota (como se fosse uma prova de colégio) e tampouco o certificado do curso depende dessas questões.</t>
  </si>
  <si>
    <t>•</t>
  </si>
  <si>
    <t>Coloque na célula J65 uma lista suspensa com os possíveis estados de Origem e na céula K65 uma lista suspensa com os possíveis valores de Destino. Em seguida, construa na célula L65 uma fórmula que calcule o total do custo de produção dos produtos que tem origem E destino iguais as células J65 e K65 respectivamente. Assim, se na célula J65 estiver GO e na K65 Holanda, o valor exibido na célula L65 deve ser igual ao total do custo de produção de todos os produtos de origem em GO e destino Holanda.</t>
  </si>
  <si>
    <t>S1</t>
  </si>
  <si>
    <t>S2</t>
  </si>
  <si>
    <t>S3</t>
  </si>
  <si>
    <t>S4</t>
  </si>
  <si>
    <t>Crédito</t>
  </si>
  <si>
    <t>Receitas</t>
  </si>
  <si>
    <t>Trabalho 1</t>
  </si>
  <si>
    <t>Trabalho 2</t>
  </si>
  <si>
    <t>Despesas</t>
  </si>
  <si>
    <t>Transporte público</t>
  </si>
  <si>
    <t>Uber</t>
  </si>
  <si>
    <t/>
  </si>
  <si>
    <t>Carro</t>
  </si>
  <si>
    <t>Investimentos</t>
  </si>
  <si>
    <t>Presentes</t>
  </si>
  <si>
    <t>Subsistência e Saúde</t>
  </si>
  <si>
    <t>Alimentação Fora</t>
  </si>
  <si>
    <t>Lazer</t>
  </si>
  <si>
    <t>Casa</t>
  </si>
  <si>
    <t>Apto</t>
  </si>
  <si>
    <t>Outros</t>
  </si>
  <si>
    <t>Subtotais</t>
  </si>
  <si>
    <t>Saldos</t>
  </si>
  <si>
    <t>Na semana</t>
  </si>
  <si>
    <t>Acumulado</t>
  </si>
  <si>
    <t>Preencha as linhas 22 e 23 da planilha Controle Financeiro com o somatório de receitas e despesas por semana. Depois preencha a linha 25 com o saldo da semana (receita - despesas) e a linha 26 com o saldo acumulado (saldo acumulado da semana = saldo acumulado da semana anterior + receitas da semana - despesas da semana)</t>
  </si>
  <si>
    <t>Preencha o resumo abaixo com o somatório de despesas mensais de 2018 até 2023. É necessário desenvolver uma única fórmula que poderá ser arrastada para baixo e preencher todos os meses.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</si>
  <si>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</si>
  <si>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</si>
  <si>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</si>
  <si>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</si>
  <si>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</si>
  <si>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</si>
  <si>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</si>
  <si>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</si>
  <si>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</si>
  <si>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</si>
  <si>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</si>
  <si>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</si>
  <si>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Nesse arquivo você encontra 30 exercícios baseados em situações do dia a dia de trabalho e em questões de processos seletivos. Esses exercícios abragem os seguintes módulos do Excel Impressionador:</t>
  </si>
  <si>
    <t>Data</t>
  </si>
  <si>
    <t>Funcionário</t>
  </si>
  <si>
    <t>Produto</t>
  </si>
  <si>
    <t>Marca</t>
  </si>
  <si>
    <t>Q2L7D8X5</t>
  </si>
  <si>
    <t>Gabriel</t>
  </si>
  <si>
    <t>Chapéu</t>
  </si>
  <si>
    <t>Azul</t>
  </si>
  <si>
    <t>J1V2E1V9</t>
  </si>
  <si>
    <t>Marcela</t>
  </si>
  <si>
    <t>R7O1C8X6</t>
  </si>
  <si>
    <t>Iago</t>
  </si>
  <si>
    <t>Camisa</t>
  </si>
  <si>
    <t>Branca</t>
  </si>
  <si>
    <t>C1R7J7O5</t>
  </si>
  <si>
    <t>Kelly</t>
  </si>
  <si>
    <t>Camiseta</t>
  </si>
  <si>
    <t>Amarela</t>
  </si>
  <si>
    <t>K6M7G7J5</t>
  </si>
  <si>
    <t>Chinelo</t>
  </si>
  <si>
    <t>Verde</t>
  </si>
  <si>
    <t>C4Q1I8A7</t>
  </si>
  <si>
    <t>João</t>
  </si>
  <si>
    <t>M8T8F4O7</t>
  </si>
  <si>
    <t>Otávio</t>
  </si>
  <si>
    <t>Saia</t>
  </si>
  <si>
    <t>R6S4T3I9</t>
  </si>
  <si>
    <t>Calça</t>
  </si>
  <si>
    <t>C5I8V2C4</t>
  </si>
  <si>
    <t>Pablo</t>
  </si>
  <si>
    <t>G7F7E3D7</t>
  </si>
  <si>
    <t>Eduarda</t>
  </si>
  <si>
    <t>Boné</t>
  </si>
  <si>
    <t>I1I1O7Q3</t>
  </si>
  <si>
    <t>Caio</t>
  </si>
  <si>
    <t>O7M9X9S9</t>
  </si>
  <si>
    <t>L4R8F3H4</t>
  </si>
  <si>
    <t>B6S3C6T7</t>
  </si>
  <si>
    <t>Natália</t>
  </si>
  <si>
    <t>Vermelha</t>
  </si>
  <si>
    <t>G7N6O5E1</t>
  </si>
  <si>
    <t>H9A4X9Z1</t>
  </si>
  <si>
    <t>T3P4B6H7</t>
  </si>
  <si>
    <t>Rafaela</t>
  </si>
  <si>
    <t>U8R1P5D9</t>
  </si>
  <si>
    <t>Bermuda</t>
  </si>
  <si>
    <t>E4R5D2H7</t>
  </si>
  <si>
    <t>Q9O6X3B8</t>
  </si>
  <si>
    <t>P8J1J5Q6</t>
  </si>
  <si>
    <t>Z7O8L6S1</t>
  </si>
  <si>
    <t>Fábio</t>
  </si>
  <si>
    <t>O8X7K8U3</t>
  </si>
  <si>
    <t>N6L5S6E9</t>
  </si>
  <si>
    <t>Luan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</si>
  <si>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</si>
  <si>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</si>
  <si>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</si>
  <si>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</si>
  <si>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</si>
  <si>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</si>
  <si>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</si>
  <si>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</si>
  <si>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</si>
  <si>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</si>
  <si>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</si>
  <si>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</si>
  <si>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</si>
  <si>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</si>
  <si>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Amanda</t>
  </si>
  <si>
    <t>B1C2O4V9</t>
  </si>
  <si>
    <t>U8F3C8K9</t>
  </si>
  <si>
    <t>M4A8B3L9</t>
  </si>
  <si>
    <t>X8L1G6C8</t>
  </si>
  <si>
    <t>Bernardo</t>
  </si>
  <si>
    <t>C4G2R4Q6</t>
  </si>
  <si>
    <t>Daniel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</si>
  <si>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</si>
  <si>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</si>
  <si>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</si>
  <si>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</si>
  <si>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</si>
  <si>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</si>
  <si>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</si>
  <si>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</si>
  <si>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</si>
  <si>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</si>
  <si>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</si>
  <si>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</si>
  <si>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</si>
  <si>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</si>
  <si>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</si>
  <si>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</si>
  <si>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</si>
  <si>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</si>
  <si>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</si>
  <si>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</si>
  <si>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</si>
  <si>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</si>
  <si>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</si>
  <si>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</si>
  <si>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</si>
  <si>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</si>
  <si>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</si>
  <si>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</si>
  <si>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</si>
  <si>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</si>
  <si>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</si>
  <si>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</si>
  <si>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</si>
  <si>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Helena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</si>
  <si>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</si>
  <si>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</si>
  <si>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</si>
  <si>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</si>
  <si>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</si>
  <si>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</si>
  <si>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</si>
  <si>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</si>
  <si>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</si>
  <si>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</si>
  <si>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</si>
  <si>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</si>
  <si>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</si>
  <si>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</si>
  <si>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</si>
  <si>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</si>
  <si>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</si>
  <si>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</si>
  <si>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</si>
  <si>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</si>
  <si>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</si>
  <si>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</si>
  <si>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</si>
  <si>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</si>
  <si>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</si>
  <si>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</si>
  <si>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</si>
  <si>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</si>
  <si>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</si>
  <si>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</si>
  <si>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</si>
  <si>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</si>
  <si>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</si>
  <si>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</si>
  <si>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</si>
  <si>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</si>
  <si>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</si>
  <si>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</si>
  <si>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</si>
  <si>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</si>
  <si>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</si>
  <si>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</si>
  <si>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</si>
  <si>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</si>
  <si>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</si>
  <si>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</si>
  <si>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</si>
  <si>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</si>
  <si>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</si>
  <si>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</si>
  <si>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</si>
  <si>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</si>
  <si>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</si>
  <si>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</si>
  <si>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</si>
  <si>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</si>
  <si>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</si>
  <si>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</si>
  <si>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</si>
  <si>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</si>
  <si>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</si>
  <si>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</si>
  <si>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</si>
  <si>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</si>
  <si>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</si>
  <si>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</si>
  <si>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</si>
  <si>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</si>
  <si>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</si>
  <si>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</si>
  <si>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</si>
  <si>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</si>
  <si>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</si>
  <si>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</si>
  <si>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</si>
  <si>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</si>
  <si>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</si>
  <si>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</si>
  <si>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</si>
  <si>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</si>
  <si>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</si>
  <si>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</si>
  <si>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</si>
  <si>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</si>
  <si>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</si>
  <si>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</si>
  <si>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</si>
  <si>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</si>
  <si>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</si>
  <si>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</si>
  <si>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</si>
  <si>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</si>
  <si>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</si>
  <si>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</si>
  <si>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</si>
  <si>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</si>
  <si>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</si>
  <si>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</si>
  <si>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</si>
  <si>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</si>
  <si>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</si>
  <si>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</si>
  <si>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</si>
  <si>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</si>
  <si>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</si>
  <si>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</si>
  <si>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</si>
  <si>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</si>
  <si>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</si>
  <si>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</si>
  <si>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</si>
  <si>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</si>
  <si>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</si>
  <si>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</si>
  <si>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</si>
  <si>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</si>
  <si>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</si>
  <si>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</si>
  <si>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</si>
  <si>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</si>
  <si>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</si>
  <si>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</si>
  <si>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</si>
  <si>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</si>
  <si>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</si>
  <si>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</si>
  <si>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</si>
  <si>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</si>
  <si>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</si>
  <si>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</si>
  <si>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</si>
  <si>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</si>
  <si>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</si>
  <si>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</si>
  <si>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</si>
  <si>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</si>
  <si>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</si>
  <si>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</si>
  <si>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</si>
  <si>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</si>
  <si>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</si>
  <si>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</si>
  <si>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</si>
  <si>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</si>
  <si>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</si>
  <si>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</si>
  <si>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</si>
  <si>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</si>
  <si>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</si>
  <si>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</si>
  <si>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</si>
  <si>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</si>
  <si>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</si>
  <si>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</si>
  <si>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</si>
  <si>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</si>
  <si>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</si>
  <si>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</si>
  <si>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</si>
  <si>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</si>
  <si>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</si>
  <si>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</si>
  <si>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</si>
  <si>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</si>
  <si>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</si>
  <si>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</si>
  <si>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</si>
  <si>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</si>
  <si>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</si>
  <si>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</si>
  <si>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</si>
  <si>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</si>
  <si>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</si>
  <si>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</si>
  <si>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</si>
  <si>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</si>
  <si>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</si>
  <si>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</si>
  <si>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</si>
  <si>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</si>
  <si>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</si>
  <si>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</si>
  <si>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</si>
  <si>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</si>
  <si>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</si>
  <si>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</si>
  <si>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</si>
  <si>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</si>
  <si>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</si>
  <si>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</si>
  <si>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</si>
  <si>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</si>
  <si>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</si>
  <si>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</si>
  <si>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</si>
  <si>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</si>
  <si>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</si>
  <si>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</si>
  <si>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</si>
  <si>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</si>
  <si>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</si>
  <si>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</si>
  <si>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</si>
  <si>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</si>
  <si>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</si>
  <si>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</si>
  <si>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</si>
  <si>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</si>
  <si>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</si>
  <si>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</si>
  <si>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</si>
  <si>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</si>
  <si>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</si>
  <si>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</si>
  <si>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</si>
  <si>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</si>
  <si>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</si>
  <si>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</si>
  <si>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</si>
  <si>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</si>
  <si>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</si>
  <si>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</si>
  <si>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</si>
  <si>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</si>
  <si>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</si>
  <si>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</si>
  <si>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</si>
  <si>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</si>
  <si>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</si>
  <si>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</si>
  <si>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</si>
  <si>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</si>
  <si>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</si>
  <si>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</si>
  <si>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</si>
  <si>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</si>
  <si>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</si>
  <si>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</si>
  <si>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</si>
  <si>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</si>
  <si>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</si>
  <si>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</si>
  <si>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</si>
  <si>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</si>
  <si>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</si>
  <si>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</si>
  <si>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</si>
  <si>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</si>
  <si>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</si>
  <si>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</si>
  <si>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</si>
  <si>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</si>
  <si>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</si>
  <si>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</si>
  <si>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</si>
  <si>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</si>
  <si>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</si>
  <si>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</si>
  <si>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</si>
  <si>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</si>
  <si>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</si>
  <si>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</si>
  <si>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</si>
  <si>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</si>
  <si>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</si>
  <si>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</si>
  <si>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</si>
  <si>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</si>
  <si>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</si>
  <si>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</si>
  <si>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</si>
  <si>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</si>
  <si>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</si>
  <si>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</si>
  <si>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</si>
  <si>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</si>
  <si>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</si>
  <si>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</si>
  <si>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</si>
  <si>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</si>
  <si>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</si>
  <si>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</si>
  <si>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</si>
  <si>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</si>
  <si>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</si>
  <si>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</si>
  <si>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</si>
  <si>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</si>
  <si>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</si>
  <si>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</si>
  <si>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</si>
  <si>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</si>
  <si>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</si>
  <si>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</si>
  <si>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</si>
  <si>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</si>
  <si>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</si>
  <si>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</si>
  <si>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</si>
  <si>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</si>
  <si>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</si>
  <si>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</si>
  <si>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</si>
  <si>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</si>
  <si>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</si>
  <si>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</si>
  <si>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</si>
  <si>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</si>
  <si>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</si>
  <si>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</si>
  <si>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</si>
  <si>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</si>
  <si>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</si>
  <si>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</si>
  <si>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</si>
  <si>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</si>
  <si>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</si>
  <si>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</si>
  <si>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</si>
  <si>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</si>
  <si>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</si>
  <si>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</si>
  <si>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</si>
  <si>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</si>
  <si>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</si>
  <si>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</si>
  <si>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</si>
  <si>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</si>
  <si>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</si>
  <si>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</si>
  <si>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</si>
  <si>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</si>
  <si>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</si>
  <si>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</si>
  <si>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</si>
  <si>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</si>
  <si>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</si>
  <si>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</si>
  <si>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</si>
  <si>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</si>
  <si>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</si>
  <si>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</si>
  <si>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</si>
  <si>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</si>
  <si>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</si>
  <si>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</si>
  <si>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</si>
  <si>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</si>
  <si>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</si>
  <si>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</si>
  <si>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</si>
  <si>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</si>
  <si>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</si>
  <si>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</si>
  <si>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</si>
  <si>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</si>
  <si>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</si>
  <si>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</si>
  <si>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</si>
  <si>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</si>
  <si>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</si>
  <si>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</si>
  <si>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</si>
  <si>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</si>
  <si>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</si>
  <si>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</si>
  <si>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</si>
  <si>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</si>
  <si>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</si>
  <si>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</si>
  <si>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</si>
  <si>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</si>
  <si>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</si>
  <si>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</si>
  <si>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</si>
  <si>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</si>
  <si>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</si>
  <si>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</si>
  <si>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</si>
  <si>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</si>
  <si>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</si>
  <si>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</si>
  <si>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</si>
  <si>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</si>
  <si>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</si>
  <si>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</si>
  <si>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</si>
  <si>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</si>
  <si>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</si>
  <si>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</si>
  <si>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</si>
  <si>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</si>
  <si>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</si>
  <si>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</si>
  <si>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</si>
  <si>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</si>
  <si>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</si>
  <si>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</si>
  <si>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</si>
  <si>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</si>
  <si>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</si>
  <si>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</si>
  <si>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</si>
  <si>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</si>
  <si>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</si>
  <si>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</si>
  <si>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</si>
  <si>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</si>
  <si>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</si>
  <si>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</si>
  <si>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</si>
  <si>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</si>
  <si>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</si>
  <si>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</si>
  <si>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</si>
  <si>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</si>
  <si>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</si>
  <si>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</si>
  <si>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</si>
  <si>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</si>
  <si>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</si>
  <si>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</si>
  <si>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</si>
  <si>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</si>
  <si>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</si>
  <si>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</si>
  <si>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</si>
  <si>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</si>
  <si>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</si>
  <si>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</si>
  <si>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</si>
  <si>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</si>
  <si>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</si>
  <si>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</si>
  <si>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</si>
  <si>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</si>
  <si>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</si>
  <si>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</si>
  <si>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</si>
  <si>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</si>
  <si>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</si>
  <si>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</si>
  <si>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</si>
  <si>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</si>
  <si>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</si>
  <si>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</si>
  <si>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</si>
  <si>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</si>
  <si>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</si>
  <si>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</si>
  <si>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</si>
  <si>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</si>
  <si>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</si>
  <si>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</si>
  <si>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</si>
  <si>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</si>
  <si>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</si>
  <si>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</si>
  <si>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</si>
  <si>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</si>
  <si>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</si>
  <si>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</si>
  <si>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</si>
  <si>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</si>
  <si>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</si>
  <si>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</si>
  <si>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</si>
  <si>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</si>
  <si>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</si>
  <si>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</si>
  <si>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</si>
  <si>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</si>
  <si>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</si>
  <si>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</si>
  <si>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</si>
  <si>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</si>
  <si>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</si>
  <si>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</si>
  <si>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</si>
  <si>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</si>
  <si>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</si>
  <si>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</si>
  <si>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</si>
  <si>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</si>
  <si>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</si>
  <si>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</si>
  <si>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</si>
  <si>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</si>
  <si>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</si>
  <si>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</si>
  <si>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</si>
  <si>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</si>
  <si>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</si>
  <si>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</si>
  <si>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</si>
  <si>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</si>
  <si>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</si>
  <si>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</si>
  <si>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</si>
  <si>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</si>
  <si>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</si>
  <si>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</si>
  <si>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</si>
  <si>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</si>
  <si>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</si>
  <si>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</si>
  <si>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</si>
  <si>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</si>
  <si>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</si>
  <si>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</si>
  <si>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</si>
  <si>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</si>
  <si>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</si>
  <si>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</si>
  <si>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</si>
  <si>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</si>
  <si>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</si>
  <si>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</si>
  <si>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</si>
  <si>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</si>
  <si>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</si>
  <si>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</si>
  <si>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</si>
  <si>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</si>
  <si>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</si>
  <si>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</si>
  <si>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</si>
  <si>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</si>
  <si>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</si>
  <si>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</si>
  <si>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</si>
  <si>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</si>
  <si>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</si>
  <si>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</si>
  <si>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</si>
  <si>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</si>
  <si>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</si>
  <si>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</si>
  <si>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</si>
  <si>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</si>
  <si>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</si>
  <si>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</si>
  <si>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</si>
  <si>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</si>
  <si>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</si>
  <si>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</si>
  <si>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</si>
  <si>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</si>
  <si>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</si>
  <si>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</si>
  <si>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</si>
  <si>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</si>
  <si>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</si>
  <si>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</si>
  <si>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</si>
  <si>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</si>
  <si>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</si>
  <si>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</si>
  <si>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</si>
  <si>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</si>
  <si>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</si>
  <si>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</si>
  <si>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</si>
  <si>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</si>
  <si>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</si>
  <si>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</si>
  <si>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</si>
  <si>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</si>
  <si>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</si>
  <si>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</si>
  <si>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</si>
  <si>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</si>
  <si>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</si>
  <si>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</si>
  <si>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</si>
  <si>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</si>
  <si>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</si>
  <si>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</si>
  <si>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</si>
  <si>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</si>
  <si>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</si>
  <si>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</si>
  <si>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</si>
  <si>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</si>
  <si>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</si>
  <si>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</si>
  <si>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</si>
  <si>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</si>
  <si>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</si>
  <si>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</si>
  <si>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</si>
  <si>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</si>
  <si>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</si>
  <si>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</si>
  <si>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</si>
  <si>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</si>
  <si>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</si>
  <si>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</si>
  <si>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</si>
  <si>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</si>
  <si>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</si>
  <si>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</si>
  <si>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</si>
  <si>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</si>
  <si>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</si>
  <si>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</si>
  <si>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</si>
  <si>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</si>
  <si>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</si>
  <si>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</si>
  <si>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</si>
  <si>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</si>
  <si>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</si>
  <si>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</si>
  <si>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</si>
  <si>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</si>
  <si>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</si>
  <si>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</si>
  <si>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</si>
  <si>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</si>
  <si>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</si>
  <si>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</si>
  <si>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</si>
  <si>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</si>
  <si>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</si>
  <si>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</si>
  <si>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</si>
  <si>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</si>
  <si>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</si>
  <si>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</si>
  <si>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</si>
  <si>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</si>
  <si>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</si>
  <si>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</si>
  <si>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</si>
  <si>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</si>
  <si>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</si>
  <si>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</si>
  <si>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</si>
  <si>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</si>
  <si>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</si>
  <si>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</si>
  <si>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</si>
  <si>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</si>
  <si>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</si>
  <si>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</si>
  <si>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</si>
  <si>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</si>
  <si>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</si>
  <si>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</si>
  <si>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</si>
  <si>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</si>
  <si>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</si>
  <si>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</si>
  <si>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</si>
  <si>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</si>
  <si>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</si>
  <si>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</si>
  <si>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</si>
  <si>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</si>
  <si>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</si>
  <si>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</si>
  <si>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</si>
  <si>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</si>
  <si>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</si>
  <si>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</si>
  <si>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</si>
  <si>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</si>
  <si>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</si>
  <si>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</si>
  <si>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</si>
  <si>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</si>
  <si>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</si>
  <si>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</si>
  <si>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</si>
  <si>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</si>
  <si>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</si>
  <si>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</si>
  <si>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</si>
  <si>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</si>
  <si>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</si>
  <si>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</si>
  <si>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</si>
  <si>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</si>
  <si>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</si>
  <si>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</si>
  <si>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</si>
  <si>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</si>
  <si>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</si>
  <si>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</si>
  <si>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</si>
  <si>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</si>
  <si>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</si>
  <si>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</si>
  <si>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</si>
  <si>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</si>
  <si>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</si>
  <si>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</si>
  <si>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</si>
  <si>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</si>
  <si>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</si>
  <si>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</si>
  <si>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</si>
  <si>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</si>
  <si>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</si>
  <si>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</si>
  <si>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</si>
  <si>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</si>
  <si>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</si>
  <si>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</si>
  <si>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</si>
  <si>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</si>
  <si>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</si>
  <si>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</si>
  <si>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</si>
  <si>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</si>
  <si>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</si>
  <si>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</si>
  <si>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</si>
  <si>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</si>
  <si>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</si>
  <si>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</si>
  <si>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</si>
  <si>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</si>
  <si>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</si>
  <si>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</si>
  <si>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</si>
  <si>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</si>
  <si>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</si>
  <si>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</si>
  <si>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</si>
  <si>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</si>
  <si>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</si>
  <si>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</si>
  <si>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</si>
  <si>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</si>
  <si>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</si>
  <si>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</si>
  <si>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</si>
  <si>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</si>
  <si>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</si>
  <si>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</si>
  <si>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</si>
  <si>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</si>
  <si>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</si>
  <si>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</si>
  <si>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</si>
  <si>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</si>
  <si>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</si>
  <si>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</si>
  <si>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</si>
  <si>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</si>
  <si>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</si>
  <si>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</si>
  <si>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</si>
  <si>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</si>
  <si>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</si>
  <si>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</si>
  <si>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</si>
  <si>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</si>
  <si>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</si>
  <si>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</si>
  <si>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</si>
  <si>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</si>
  <si>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</si>
  <si>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</si>
  <si>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</si>
  <si>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</si>
  <si>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</si>
  <si>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</si>
  <si>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</si>
  <si>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</si>
  <si>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</si>
  <si>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</si>
  <si>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</si>
  <si>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</si>
  <si>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</si>
  <si>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</si>
  <si>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</si>
  <si>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</si>
  <si>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</si>
  <si>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</si>
  <si>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</si>
  <si>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</si>
  <si>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</si>
  <si>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</si>
  <si>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</si>
  <si>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</si>
  <si>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</si>
  <si>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</si>
  <si>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</si>
  <si>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</si>
  <si>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</si>
  <si>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</si>
  <si>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</si>
  <si>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</si>
  <si>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</si>
  <si>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</si>
  <si>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</si>
  <si>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</si>
  <si>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</si>
  <si>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</si>
  <si>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</si>
  <si>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</si>
  <si>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</si>
  <si>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</si>
  <si>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</si>
  <si>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</si>
  <si>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</si>
  <si>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</si>
  <si>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</si>
  <si>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</si>
  <si>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</si>
  <si>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</si>
  <si>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</si>
  <si>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</si>
  <si>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</si>
  <si>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</si>
  <si>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</si>
  <si>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</si>
  <si>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</si>
  <si>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</si>
  <si>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</si>
  <si>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</si>
  <si>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</si>
  <si>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</si>
  <si>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</si>
  <si>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</si>
  <si>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</si>
  <si>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</si>
  <si>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</si>
  <si>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</si>
  <si>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</si>
  <si>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</si>
  <si>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</si>
  <si>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</si>
  <si>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</si>
  <si>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</si>
  <si>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</si>
  <si>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</si>
  <si>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</si>
  <si>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</si>
  <si>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</si>
  <si>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</si>
  <si>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</si>
  <si>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</si>
  <si>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</si>
  <si>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</si>
  <si>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</si>
  <si>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</si>
  <si>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</si>
  <si>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</si>
  <si>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</si>
  <si>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</si>
  <si>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</si>
  <si>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</si>
  <si>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</si>
  <si>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</si>
  <si>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</si>
  <si>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</si>
  <si>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</si>
  <si>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</si>
  <si>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</si>
  <si>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</si>
  <si>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</si>
  <si>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</si>
  <si>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</si>
  <si>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</si>
  <si>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</si>
  <si>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</si>
  <si>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</si>
  <si>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</si>
  <si>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</si>
  <si>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</si>
  <si>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</si>
  <si>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</si>
  <si>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</si>
  <si>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</si>
  <si>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</si>
  <si>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</si>
  <si>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</si>
  <si>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</si>
  <si>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</si>
  <si>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</si>
  <si>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</si>
  <si>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</si>
  <si>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</si>
  <si>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</si>
  <si>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</si>
  <si>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</si>
  <si>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</si>
  <si>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</si>
  <si>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</si>
  <si>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</si>
  <si>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</si>
  <si>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</si>
  <si>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</si>
  <si>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</si>
  <si>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</si>
  <si>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</si>
  <si>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</si>
  <si>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</si>
  <si>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</si>
  <si>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</si>
  <si>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</si>
  <si>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</si>
  <si>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</si>
  <si>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</si>
  <si>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</si>
  <si>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</si>
  <si>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</si>
  <si>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</si>
  <si>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</si>
  <si>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</si>
  <si>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</si>
  <si>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</si>
  <si>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</si>
  <si>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</si>
  <si>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</si>
  <si>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</si>
  <si>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</si>
  <si>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</si>
  <si>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</si>
  <si>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</si>
  <si>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</si>
  <si>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</si>
  <si>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</si>
  <si>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</si>
  <si>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</si>
  <si>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</si>
  <si>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</si>
  <si>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</si>
  <si>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</si>
  <si>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</si>
  <si>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</si>
  <si>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</si>
  <si>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</si>
  <si>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</si>
  <si>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</si>
  <si>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</si>
  <si>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</si>
  <si>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</si>
  <si>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</si>
  <si>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</si>
  <si>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</si>
  <si>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</si>
  <si>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</si>
  <si>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</si>
  <si>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</si>
  <si>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</si>
  <si>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</si>
  <si>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</si>
  <si>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</si>
  <si>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</si>
  <si>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</si>
  <si>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</si>
  <si>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</si>
  <si>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</si>
  <si>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</si>
  <si>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</si>
  <si>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</si>
  <si>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</si>
  <si>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</si>
  <si>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</si>
  <si>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</si>
  <si>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</si>
  <si>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</si>
  <si>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</si>
  <si>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</si>
  <si>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</si>
  <si>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</si>
  <si>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</si>
  <si>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</si>
  <si>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</si>
  <si>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</si>
  <si>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</si>
  <si>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</si>
  <si>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</si>
  <si>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</si>
  <si>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</si>
  <si>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</si>
  <si>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</si>
  <si>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</si>
  <si>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</si>
  <si>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</si>
  <si>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</si>
  <si>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</si>
  <si>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</si>
  <si>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</si>
  <si>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</si>
  <si>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</si>
  <si>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</si>
  <si>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</si>
  <si>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</si>
  <si>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</si>
  <si>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</si>
  <si>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</si>
  <si>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</si>
  <si>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</si>
  <si>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</si>
  <si>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</si>
  <si>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</si>
  <si>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</si>
  <si>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</si>
  <si>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</si>
  <si>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</si>
  <si>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</si>
  <si>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</si>
  <si>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</si>
  <si>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</si>
  <si>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</si>
  <si>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</si>
  <si>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</si>
  <si>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</si>
  <si>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</si>
  <si>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</si>
  <si>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</si>
  <si>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</si>
  <si>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</si>
  <si>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</si>
  <si>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</si>
  <si>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</si>
  <si>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</si>
  <si>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</si>
  <si>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</si>
  <si>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</si>
  <si>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</si>
  <si>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</si>
  <si>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</si>
  <si>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</si>
  <si>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</si>
  <si>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</si>
  <si>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</si>
  <si>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</si>
  <si>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</si>
  <si>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</si>
  <si>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</si>
  <si>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</si>
  <si>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</si>
  <si>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</si>
  <si>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</si>
  <si>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</si>
  <si>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</si>
  <si>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</si>
  <si>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</si>
  <si>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</si>
  <si>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</si>
  <si>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</si>
  <si>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</si>
  <si>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</si>
  <si>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</si>
  <si>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</si>
  <si>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</si>
  <si>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</si>
  <si>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</si>
  <si>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</si>
  <si>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</si>
  <si>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</si>
  <si>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</si>
  <si>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</si>
  <si>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</si>
  <si>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</si>
  <si>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</si>
  <si>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</si>
  <si>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</si>
  <si>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</si>
  <si>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</si>
  <si>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</si>
  <si>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</si>
  <si>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</si>
  <si>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</si>
  <si>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</si>
  <si>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</si>
  <si>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</si>
  <si>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</si>
  <si>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</si>
  <si>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</si>
  <si>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</si>
  <si>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</si>
  <si>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</si>
  <si>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</si>
  <si>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</si>
  <si>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</si>
  <si>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</si>
  <si>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</si>
  <si>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</si>
  <si>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</si>
  <si>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</si>
  <si>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</si>
  <si>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</si>
  <si>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</si>
  <si>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</si>
  <si>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</si>
  <si>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</si>
  <si>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</si>
  <si>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</si>
  <si>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</si>
  <si>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</si>
  <si>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</si>
  <si>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</si>
  <si>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</si>
  <si>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</si>
  <si>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</si>
  <si>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</si>
  <si>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</si>
  <si>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</si>
  <si>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</si>
  <si>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</si>
  <si>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</si>
  <si>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</si>
  <si>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</si>
  <si>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</si>
  <si>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</si>
  <si>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</si>
  <si>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</si>
  <si>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</si>
  <si>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</si>
  <si>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</si>
  <si>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</si>
  <si>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</si>
  <si>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</si>
  <si>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</si>
  <si>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</si>
  <si>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</si>
  <si>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</si>
  <si>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</si>
  <si>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</si>
  <si>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</si>
  <si>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</si>
  <si>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</si>
  <si>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</si>
  <si>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</si>
  <si>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</si>
  <si>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</si>
  <si>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</si>
  <si>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</si>
  <si>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</si>
  <si>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</si>
  <si>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</si>
  <si>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</si>
  <si>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</si>
  <si>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</si>
  <si>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</si>
  <si>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</si>
  <si>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</si>
  <si>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</si>
  <si>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</si>
  <si>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</si>
  <si>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</si>
  <si>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</si>
  <si>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</si>
  <si>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</si>
  <si>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</si>
  <si>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</si>
  <si>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</si>
  <si>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</si>
  <si>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</si>
  <si>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</si>
  <si>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</si>
  <si>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</si>
  <si>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</si>
  <si>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</si>
  <si>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</si>
  <si>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</si>
  <si>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</si>
  <si>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</si>
  <si>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</si>
  <si>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</si>
  <si>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</si>
  <si>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</si>
  <si>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</si>
  <si>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</si>
  <si>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</si>
  <si>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</si>
  <si>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</si>
  <si>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</si>
  <si>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</si>
  <si>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</si>
  <si>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</si>
  <si>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</si>
  <si>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</si>
  <si>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</si>
  <si>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</si>
  <si>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</si>
  <si>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</si>
  <si>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</si>
  <si>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</si>
  <si>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</si>
  <si>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</si>
  <si>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</si>
  <si>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</si>
  <si>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</si>
  <si>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</si>
  <si>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</si>
  <si>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</si>
  <si>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</si>
  <si>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</si>
  <si>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</si>
  <si>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</si>
  <si>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</si>
  <si>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</si>
  <si>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</si>
  <si>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</si>
  <si>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</si>
  <si>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</si>
  <si>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</si>
  <si>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</si>
  <si>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</si>
  <si>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</si>
  <si>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</si>
  <si>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</si>
  <si>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</si>
  <si>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</si>
  <si>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</si>
  <si>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</si>
  <si>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</si>
  <si>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</si>
  <si>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</si>
  <si>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</si>
  <si>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</si>
  <si>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</si>
  <si>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</si>
  <si>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</si>
  <si>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</si>
  <si>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</si>
  <si>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</si>
  <si>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</si>
  <si>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</si>
  <si>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</si>
  <si>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</si>
  <si>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</si>
  <si>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</si>
  <si>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</si>
  <si>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</si>
  <si>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</si>
  <si>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</si>
  <si>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</si>
  <si>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</si>
  <si>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</si>
  <si>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</si>
  <si>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</si>
  <si>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</si>
  <si>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</si>
  <si>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</si>
  <si>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</si>
  <si>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</si>
  <si>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</si>
  <si>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</si>
  <si>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</si>
  <si>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</si>
  <si>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</si>
  <si>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</si>
  <si>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</si>
  <si>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</si>
  <si>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</si>
  <si>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</si>
  <si>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</si>
  <si>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</si>
  <si>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</si>
  <si>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</si>
  <si>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</si>
  <si>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</si>
  <si>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</si>
  <si>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</si>
  <si>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</si>
  <si>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</si>
  <si>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</si>
  <si>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</si>
  <si>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</si>
  <si>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</si>
  <si>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</si>
  <si>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</si>
  <si>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</si>
  <si>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</si>
  <si>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</si>
  <si>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</si>
  <si>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</si>
  <si>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</si>
  <si>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</si>
  <si>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</si>
  <si>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</si>
  <si>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</si>
  <si>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</si>
  <si>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</si>
  <si>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</si>
  <si>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</si>
  <si>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</si>
  <si>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</si>
  <si>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</si>
  <si>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</si>
  <si>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</si>
  <si>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</si>
  <si>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</si>
  <si>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</si>
  <si>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</si>
  <si>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</si>
  <si>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</si>
  <si>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</si>
  <si>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</si>
  <si>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</si>
  <si>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</si>
  <si>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</si>
  <si>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</si>
  <si>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</si>
  <si>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</si>
  <si>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</si>
  <si>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</si>
  <si>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</si>
  <si>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</si>
  <si>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</si>
  <si>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</si>
  <si>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</si>
  <si>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</si>
  <si>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</si>
  <si>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</si>
  <si>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</si>
  <si>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</si>
  <si>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</si>
  <si>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</si>
  <si>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</si>
  <si>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</si>
  <si>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</si>
  <si>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</si>
  <si>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</si>
  <si>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</si>
  <si>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</si>
  <si>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</si>
  <si>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</si>
  <si>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</si>
  <si>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</si>
  <si>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</si>
  <si>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</si>
  <si>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</si>
  <si>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</si>
  <si>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</si>
  <si>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</si>
  <si>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</si>
  <si>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</si>
  <si>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</si>
  <si>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</si>
  <si>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</si>
  <si>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</si>
  <si>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</si>
  <si>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</si>
  <si>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</si>
  <si>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</si>
  <si>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</si>
  <si>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</si>
  <si>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</si>
  <si>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</si>
  <si>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</si>
  <si>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</si>
  <si>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</si>
  <si>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</si>
  <si>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</si>
  <si>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</si>
  <si>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</si>
  <si>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</si>
  <si>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</si>
  <si>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</si>
  <si>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</si>
  <si>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</si>
  <si>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</si>
  <si>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</si>
  <si>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</si>
  <si>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</si>
  <si>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</si>
  <si>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</si>
  <si>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</si>
  <si>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</si>
  <si>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</si>
  <si>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</si>
  <si>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</si>
  <si>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</si>
  <si>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</si>
  <si>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</si>
  <si>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</si>
  <si>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</si>
  <si>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</si>
  <si>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</si>
  <si>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</si>
  <si>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</si>
  <si>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</si>
  <si>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</si>
  <si>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</si>
  <si>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</si>
  <si>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</si>
  <si>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</si>
  <si>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</si>
  <si>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</si>
  <si>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</si>
  <si>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</si>
  <si>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</si>
  <si>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</si>
  <si>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</si>
  <si>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</si>
  <si>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</si>
  <si>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</si>
  <si>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</si>
  <si>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</si>
  <si>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</si>
  <si>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</si>
  <si>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</si>
  <si>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</si>
  <si>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</si>
  <si>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</si>
  <si>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</si>
  <si>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</si>
  <si>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</si>
  <si>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</si>
  <si>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</si>
  <si>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</si>
  <si>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</si>
  <si>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</si>
  <si>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</si>
  <si>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</si>
  <si>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</si>
  <si>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</si>
  <si>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</si>
  <si>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</si>
  <si>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</si>
  <si>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</si>
  <si>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</si>
  <si>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</si>
  <si>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</si>
  <si>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</si>
  <si>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</si>
  <si>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</si>
  <si>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</si>
  <si>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</si>
  <si>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</si>
  <si>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</si>
  <si>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</si>
  <si>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</si>
  <si>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</si>
  <si>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</si>
  <si>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</si>
  <si>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</si>
  <si>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</si>
  <si>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</si>
  <si>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</si>
  <si>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</si>
  <si>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</si>
  <si>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</si>
  <si>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</si>
  <si>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</si>
  <si>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</si>
  <si>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</si>
  <si>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</si>
  <si>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</si>
  <si>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</si>
  <si>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</si>
  <si>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</si>
  <si>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</si>
  <si>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</si>
  <si>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</si>
  <si>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</si>
  <si>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</si>
  <si>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</si>
  <si>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</si>
  <si>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</si>
  <si>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</si>
  <si>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</si>
  <si>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</si>
  <si>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</si>
  <si>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</si>
  <si>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</si>
  <si>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</si>
  <si>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</si>
  <si>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</si>
  <si>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</si>
  <si>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</si>
  <si>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</si>
  <si>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</si>
  <si>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</si>
  <si>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</si>
  <si>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</si>
  <si>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</si>
  <si>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</si>
  <si>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</si>
  <si>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</si>
  <si>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</si>
  <si>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</si>
  <si>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</si>
  <si>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</si>
  <si>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</si>
  <si>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</si>
  <si>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</si>
  <si>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</si>
  <si>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</si>
  <si>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</si>
  <si>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</si>
  <si>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</si>
  <si>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</si>
  <si>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</si>
  <si>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</si>
  <si>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</si>
  <si>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</si>
  <si>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</si>
  <si>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</si>
  <si>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</si>
  <si>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</si>
  <si>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</si>
  <si>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</si>
  <si>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</si>
  <si>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</si>
  <si>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</si>
  <si>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</si>
  <si>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</si>
  <si>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</si>
  <si>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</si>
  <si>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</si>
  <si>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</si>
  <si>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</si>
  <si>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</si>
  <si>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</si>
  <si>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</si>
  <si>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</si>
  <si>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</si>
  <si>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</si>
  <si>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</si>
  <si>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</si>
  <si>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</si>
  <si>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</si>
  <si>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</si>
  <si>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</si>
  <si>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</si>
  <si>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</si>
  <si>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</si>
  <si>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</si>
  <si>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</si>
  <si>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</si>
  <si>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</si>
  <si>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</si>
  <si>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</si>
  <si>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</si>
  <si>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</si>
  <si>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</si>
  <si>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</si>
  <si>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</si>
  <si>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</si>
  <si>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</si>
  <si>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</si>
  <si>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</si>
  <si>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</si>
  <si>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</si>
  <si>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</si>
  <si>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</si>
  <si>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</si>
  <si>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</si>
  <si>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</si>
  <si>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</si>
  <si>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</si>
  <si>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</si>
  <si>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</si>
  <si>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</si>
  <si>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</si>
  <si>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</si>
  <si>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</si>
  <si>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</si>
  <si>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</si>
  <si>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</si>
  <si>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</si>
  <si>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</si>
  <si>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</si>
  <si>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</si>
  <si>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</si>
  <si>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</si>
  <si>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</si>
  <si>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</si>
  <si>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</si>
  <si>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</si>
  <si>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</si>
  <si>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</si>
  <si>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</si>
  <si>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</si>
  <si>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</si>
  <si>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</si>
  <si>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</si>
  <si>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</si>
  <si>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</si>
  <si>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</si>
  <si>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</si>
  <si>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</si>
  <si>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</si>
  <si>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</si>
  <si>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</si>
  <si>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</si>
  <si>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</si>
  <si>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</si>
  <si>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</si>
  <si>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</si>
  <si>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</si>
  <si>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</si>
  <si>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</si>
  <si>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</si>
  <si>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</si>
  <si>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</si>
  <si>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</si>
  <si>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</si>
  <si>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</si>
  <si>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</si>
  <si>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</si>
  <si>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</si>
  <si>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</si>
  <si>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</si>
  <si>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</si>
  <si>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</si>
  <si>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</si>
  <si>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</si>
  <si>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</si>
  <si>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</si>
  <si>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</si>
  <si>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</si>
  <si>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</si>
  <si>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</si>
  <si>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</si>
  <si>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</si>
  <si>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</si>
  <si>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</si>
  <si>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</si>
  <si>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</si>
  <si>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</si>
  <si>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</si>
  <si>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</si>
  <si>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</si>
  <si>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</si>
  <si>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</si>
  <si>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</si>
  <si>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</si>
  <si>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</si>
  <si>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</si>
  <si>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</si>
  <si>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</si>
  <si>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</si>
  <si>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</si>
  <si>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</si>
  <si>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</si>
  <si>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</si>
  <si>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</si>
  <si>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</si>
  <si>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</si>
  <si>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</si>
  <si>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</si>
  <si>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</si>
  <si>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</si>
  <si>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</si>
  <si>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</si>
  <si>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</si>
  <si>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</si>
  <si>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</si>
  <si>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</si>
  <si>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</si>
  <si>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</si>
  <si>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</si>
  <si>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</si>
  <si>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</si>
  <si>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</si>
  <si>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</si>
  <si>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</si>
  <si>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</si>
  <si>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</si>
  <si>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</si>
  <si>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</si>
  <si>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</si>
  <si>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</si>
  <si>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</si>
  <si>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</si>
  <si>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</si>
  <si>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</si>
  <si>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</si>
  <si>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</si>
  <si>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</si>
  <si>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</si>
  <si>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</si>
  <si>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</si>
  <si>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</si>
  <si>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</si>
  <si>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</si>
  <si>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</si>
  <si>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</si>
  <si>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</si>
  <si>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</si>
  <si>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</si>
  <si>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</si>
  <si>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</si>
  <si>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</si>
  <si>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</si>
  <si>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</si>
  <si>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</si>
  <si>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</si>
  <si>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</si>
  <si>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</si>
  <si>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</si>
  <si>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</si>
  <si>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</si>
  <si>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</si>
  <si>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</si>
  <si>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</si>
  <si>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</si>
  <si>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</si>
  <si>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</si>
  <si>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</si>
  <si>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</si>
  <si>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</si>
  <si>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</si>
  <si>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</si>
  <si>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</si>
  <si>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</si>
  <si>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</si>
  <si>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</si>
  <si>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</si>
  <si>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</si>
  <si>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</si>
  <si>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</si>
  <si>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</si>
  <si>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</si>
  <si>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</si>
  <si>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</si>
  <si>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</si>
  <si>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</si>
  <si>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</si>
  <si>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</si>
  <si>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</si>
  <si>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</si>
  <si>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</si>
  <si>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</si>
  <si>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</si>
  <si>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</si>
  <si>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</si>
  <si>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</si>
  <si>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</si>
  <si>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</si>
  <si>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</si>
  <si>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</si>
  <si>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</si>
  <si>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</si>
  <si>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</si>
  <si>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</si>
  <si>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</si>
  <si>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</si>
  <si>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</si>
  <si>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</si>
  <si>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</si>
  <si>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</si>
  <si>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</si>
  <si>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</si>
  <si>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</si>
  <si>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</si>
  <si>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</si>
  <si>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</si>
  <si>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</si>
  <si>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</si>
  <si>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</si>
  <si>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</si>
  <si>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</si>
  <si>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</si>
  <si>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</si>
  <si>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</si>
  <si>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</si>
  <si>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</si>
  <si>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</si>
  <si>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</si>
  <si>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</si>
  <si>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</si>
  <si>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</si>
  <si>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</si>
  <si>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</si>
  <si>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</si>
  <si>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</si>
  <si>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</si>
  <si>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</si>
  <si>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</si>
  <si>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</si>
  <si>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</si>
  <si>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</si>
  <si>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</si>
  <si>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</si>
  <si>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</si>
  <si>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</si>
  <si>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</si>
  <si>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</si>
  <si>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</si>
  <si>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</si>
  <si>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</si>
  <si>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</si>
  <si>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</si>
  <si>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</si>
  <si>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</si>
  <si>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</si>
  <si>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</si>
  <si>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</si>
  <si>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</si>
  <si>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</si>
  <si>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</si>
  <si>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</si>
  <si>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</si>
  <si>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</si>
  <si>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</si>
  <si>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</si>
  <si>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</si>
  <si>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</si>
  <si>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</si>
  <si>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</si>
  <si>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</si>
  <si>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</si>
  <si>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</si>
  <si>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</si>
  <si>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</si>
  <si>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</si>
  <si>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</si>
  <si>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</si>
  <si>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</si>
  <si>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</si>
  <si>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</si>
  <si>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</si>
  <si>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</si>
  <si>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</si>
  <si>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</si>
  <si>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</si>
  <si>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</si>
  <si>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</si>
  <si>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</si>
  <si>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</si>
  <si>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</si>
  <si>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</si>
  <si>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</si>
  <si>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</si>
  <si>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</si>
  <si>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</si>
  <si>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</si>
  <si>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</si>
  <si>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</si>
  <si>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</si>
  <si>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</si>
  <si>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</si>
  <si>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</si>
  <si>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</si>
  <si>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</si>
  <si>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</si>
  <si>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</si>
  <si>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</si>
  <si>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</si>
  <si>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</si>
  <si>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</si>
  <si>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</si>
  <si>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</si>
  <si>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</si>
  <si>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</si>
  <si>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</si>
  <si>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</si>
  <si>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</si>
  <si>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</si>
  <si>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</si>
  <si>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</si>
  <si>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</si>
  <si>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</si>
  <si>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</si>
  <si>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</si>
  <si>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</si>
  <si>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</si>
  <si>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</si>
  <si>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</si>
  <si>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</si>
  <si>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</si>
  <si>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</si>
  <si>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</si>
  <si>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</si>
  <si>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</si>
  <si>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</si>
  <si>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</si>
  <si>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</si>
  <si>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</si>
  <si>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</si>
  <si>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</si>
  <si>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</si>
  <si>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</si>
  <si>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</si>
  <si>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</si>
  <si>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</si>
  <si>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</si>
  <si>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</si>
  <si>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</si>
  <si>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</si>
  <si>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</si>
  <si>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</si>
  <si>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</si>
  <si>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</si>
  <si>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</si>
  <si>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</si>
  <si>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</si>
  <si>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</si>
  <si>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</si>
  <si>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</si>
  <si>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</si>
  <si>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</si>
  <si>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</si>
  <si>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</si>
  <si>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</si>
  <si>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</si>
  <si>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</si>
  <si>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</si>
  <si>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</si>
  <si>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</si>
  <si>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</si>
  <si>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</si>
  <si>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</si>
  <si>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</si>
  <si>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</si>
  <si>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</si>
  <si>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</si>
  <si>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</si>
  <si>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</si>
  <si>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</si>
  <si>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</si>
  <si>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</si>
  <si>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</si>
  <si>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</si>
  <si>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</si>
  <si>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</si>
  <si>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</si>
  <si>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</si>
  <si>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</si>
  <si>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</si>
  <si>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</si>
  <si>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</si>
  <si>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</si>
  <si>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</si>
  <si>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</si>
  <si>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</si>
  <si>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</si>
  <si>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</si>
  <si>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</si>
  <si>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</si>
  <si>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</si>
  <si>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</si>
  <si>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</si>
  <si>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</si>
  <si>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</si>
  <si>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</si>
  <si>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</si>
  <si>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</si>
  <si>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</si>
  <si>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</si>
  <si>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</si>
  <si>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</si>
  <si>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</si>
  <si>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</si>
  <si>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</si>
  <si>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</si>
  <si>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</si>
  <si>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</si>
  <si>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</si>
  <si>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</si>
  <si>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</si>
  <si>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</si>
  <si>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</si>
  <si>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</si>
  <si>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</si>
  <si>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</si>
  <si>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</si>
  <si>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</si>
  <si>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</si>
  <si>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</si>
  <si>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</si>
  <si>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</si>
  <si>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</si>
  <si>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</si>
  <si>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</si>
  <si>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</si>
  <si>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</si>
  <si>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</si>
  <si>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</si>
  <si>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</si>
  <si>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</si>
  <si>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</si>
  <si>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</si>
  <si>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</si>
  <si>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</si>
  <si>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</si>
  <si>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</si>
  <si>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</si>
  <si>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</si>
  <si>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</si>
  <si>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</si>
  <si>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</si>
  <si>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</si>
  <si>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</si>
  <si>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</si>
  <si>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</si>
  <si>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</si>
  <si>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</si>
  <si>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</si>
  <si>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</si>
  <si>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</si>
  <si>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</si>
  <si>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</si>
  <si>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</si>
  <si>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</si>
  <si>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</si>
  <si>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</si>
  <si>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</si>
  <si>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</si>
  <si>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</si>
  <si>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</si>
  <si>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</si>
  <si>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</si>
  <si>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</si>
  <si>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</si>
  <si>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</si>
  <si>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</si>
  <si>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</si>
  <si>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</si>
  <si>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</si>
  <si>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</si>
  <si>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</si>
  <si>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</si>
  <si>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</si>
  <si>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</si>
  <si>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</si>
  <si>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</si>
  <si>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</si>
  <si>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</si>
  <si>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</si>
  <si>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</si>
  <si>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</si>
  <si>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</si>
  <si>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</si>
  <si>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</si>
  <si>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</si>
  <si>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</si>
  <si>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</si>
  <si>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</si>
  <si>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</si>
  <si>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</si>
  <si>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</si>
  <si>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</si>
  <si>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</si>
  <si>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</si>
  <si>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</si>
  <si>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</si>
  <si>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</si>
  <si>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</si>
  <si>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</si>
  <si>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</si>
  <si>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</si>
  <si>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</si>
  <si>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</si>
  <si>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</si>
  <si>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</si>
  <si>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</si>
  <si>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</si>
  <si>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</si>
  <si>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</si>
  <si>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</si>
  <si>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</si>
  <si>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</si>
  <si>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</si>
  <si>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</si>
  <si>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</si>
  <si>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</si>
  <si>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</si>
  <si>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</si>
  <si>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</si>
  <si>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</si>
  <si>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</si>
  <si>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</si>
  <si>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</si>
  <si>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</si>
  <si>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</si>
  <si>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</si>
  <si>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</si>
  <si>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</si>
  <si>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</si>
  <si>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</si>
  <si>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</si>
  <si>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</si>
  <si>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</si>
  <si>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</si>
  <si>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</si>
  <si>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</si>
  <si>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</si>
  <si>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</si>
  <si>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</si>
  <si>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</si>
  <si>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</si>
  <si>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</si>
  <si>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</si>
  <si>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</si>
  <si>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</si>
  <si>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</si>
  <si>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</si>
  <si>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</si>
  <si>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</si>
  <si>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</si>
  <si>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</si>
  <si>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</si>
  <si>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</si>
  <si>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</si>
  <si>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</si>
  <si>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</si>
  <si>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</si>
  <si>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</si>
  <si>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</si>
  <si>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</si>
  <si>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</si>
  <si>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</si>
  <si>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</si>
  <si>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</si>
  <si>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</si>
  <si>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</si>
  <si>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</si>
  <si>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</si>
  <si>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</si>
  <si>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</si>
  <si>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</si>
  <si>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</si>
  <si>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</si>
  <si>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</si>
  <si>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</si>
  <si>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</si>
  <si>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</si>
  <si>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</si>
  <si>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</si>
  <si>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</si>
  <si>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</si>
  <si>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</si>
  <si>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</si>
  <si>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</si>
  <si>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</si>
  <si>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</si>
  <si>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</si>
  <si>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</si>
  <si>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</si>
  <si>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</si>
  <si>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</si>
  <si>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</si>
  <si>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</si>
  <si>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</si>
  <si>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</si>
  <si>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</si>
  <si>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</si>
  <si>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</si>
  <si>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</si>
  <si>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</si>
  <si>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</si>
  <si>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</si>
  <si>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</si>
  <si>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</si>
  <si>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</si>
  <si>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</si>
  <si>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</si>
  <si>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</si>
  <si>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</si>
  <si>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</si>
  <si>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</si>
  <si>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</si>
  <si>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</si>
  <si>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</si>
  <si>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</si>
  <si>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</si>
  <si>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</si>
  <si>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</si>
  <si>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</si>
  <si>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</si>
  <si>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</si>
  <si>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</si>
  <si>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</si>
  <si>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</si>
  <si>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</si>
  <si>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</si>
  <si>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</si>
  <si>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</si>
  <si>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</si>
  <si>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</si>
  <si>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</si>
  <si>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</si>
  <si>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</si>
  <si>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</si>
  <si>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</si>
  <si>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</si>
  <si>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</si>
  <si>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</si>
  <si>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</si>
  <si>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</si>
  <si>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</si>
  <si>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</si>
  <si>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</si>
  <si>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</si>
  <si>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</si>
  <si>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</si>
  <si>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</si>
  <si>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</si>
  <si>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</si>
  <si>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</si>
  <si>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</si>
  <si>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</si>
  <si>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</si>
  <si>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</si>
  <si>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</si>
  <si>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</si>
  <si>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</si>
  <si>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</si>
  <si>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</si>
  <si>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</si>
  <si>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</si>
  <si>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</si>
  <si>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</si>
  <si>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</si>
  <si>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</si>
  <si>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</si>
  <si>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</si>
  <si>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</si>
  <si>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</si>
  <si>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</si>
  <si>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</si>
  <si>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</si>
  <si>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</si>
  <si>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</si>
  <si>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</si>
  <si>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</si>
  <si>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</si>
  <si>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</si>
  <si>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</si>
  <si>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</si>
  <si>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</si>
  <si>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</si>
  <si>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</si>
  <si>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</si>
  <si>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</si>
  <si>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</si>
  <si>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</si>
  <si>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</si>
  <si>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</si>
  <si>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</si>
  <si>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</si>
  <si>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</si>
  <si>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</si>
  <si>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</si>
  <si>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</si>
  <si>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</si>
  <si>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</si>
  <si>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</si>
  <si>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</si>
  <si>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</si>
  <si>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</si>
  <si>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</si>
  <si>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</si>
  <si>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</si>
  <si>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</si>
  <si>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</si>
  <si>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</si>
  <si>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</si>
  <si>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</si>
  <si>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</si>
  <si>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</si>
  <si>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</si>
  <si>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</si>
  <si>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</si>
  <si>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</si>
  <si>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</si>
  <si>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</si>
  <si>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</si>
  <si>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</si>
  <si>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</si>
  <si>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</si>
  <si>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</si>
  <si>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</si>
  <si>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</si>
  <si>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</si>
  <si>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</si>
  <si>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</si>
  <si>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</si>
  <si>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</si>
  <si>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</si>
  <si>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</si>
  <si>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</si>
  <si>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</si>
  <si>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</si>
  <si>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</si>
  <si>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</si>
  <si>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</si>
  <si>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</si>
  <si>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</si>
  <si>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</si>
  <si>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</si>
  <si>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</si>
  <si>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</si>
  <si>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</si>
  <si>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</si>
  <si>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</si>
  <si>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</si>
  <si>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</si>
  <si>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</si>
  <si>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</si>
  <si>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</si>
  <si>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</si>
  <si>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</si>
  <si>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</si>
  <si>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</si>
  <si>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</si>
  <si>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</si>
  <si>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</si>
  <si>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</si>
  <si>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</si>
  <si>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</si>
  <si>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</si>
  <si>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</si>
  <si>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</si>
  <si>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</si>
  <si>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</si>
  <si>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</si>
  <si>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</si>
  <si>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</si>
  <si>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</si>
  <si>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</si>
  <si>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</si>
  <si>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</si>
  <si>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</si>
  <si>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</si>
  <si>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</si>
  <si>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</si>
  <si>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</si>
  <si>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</si>
  <si>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</si>
  <si>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</si>
  <si>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</si>
  <si>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</si>
  <si>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</si>
  <si>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</si>
  <si>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</si>
  <si>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</si>
  <si>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</si>
  <si>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</si>
  <si>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</si>
  <si>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</si>
  <si>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</si>
  <si>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</si>
  <si>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</si>
  <si>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</si>
  <si>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</si>
  <si>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</si>
  <si>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</si>
  <si>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</si>
  <si>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</si>
  <si>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</si>
  <si>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</si>
  <si>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</si>
  <si>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</si>
  <si>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</si>
  <si>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</si>
  <si>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</si>
  <si>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</si>
  <si>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</si>
  <si>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</si>
  <si>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</si>
  <si>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</si>
  <si>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</si>
  <si>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</si>
  <si>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</si>
  <si>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</si>
  <si>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</si>
  <si>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</si>
  <si>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</si>
  <si>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</si>
  <si>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</si>
  <si>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</si>
  <si>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</si>
  <si>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</si>
  <si>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</si>
  <si>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</si>
  <si>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</si>
  <si>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</si>
  <si>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</si>
  <si>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</si>
  <si>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</si>
  <si>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</si>
  <si>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</si>
  <si>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</si>
  <si>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</si>
  <si>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</si>
  <si>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</si>
  <si>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</si>
  <si>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</si>
  <si>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</si>
  <si>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</si>
  <si>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</si>
  <si>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</si>
  <si>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</si>
  <si>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</si>
  <si>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</si>
  <si>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</si>
  <si>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</si>
  <si>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</si>
  <si>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</si>
  <si>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</si>
  <si>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</si>
  <si>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</si>
  <si>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</si>
  <si>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</si>
  <si>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</si>
  <si>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</si>
  <si>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</si>
  <si>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</si>
  <si>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</si>
  <si>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</si>
  <si>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</si>
  <si>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</si>
  <si>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</si>
  <si>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</si>
  <si>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</si>
  <si>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</si>
  <si>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</si>
  <si>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</si>
  <si>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</si>
  <si>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</si>
  <si>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</si>
  <si>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</si>
  <si>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</si>
  <si>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</si>
  <si>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</si>
  <si>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</si>
  <si>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</si>
  <si>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</si>
  <si>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</si>
  <si>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</si>
  <si>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</si>
  <si>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</si>
  <si>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</si>
  <si>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</si>
  <si>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</si>
  <si>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</si>
  <si>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</si>
  <si>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</si>
  <si>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</si>
  <si>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</si>
  <si>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</si>
  <si>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</si>
  <si>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</si>
  <si>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</si>
  <si>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</si>
  <si>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</si>
  <si>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</si>
  <si>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</si>
  <si>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</si>
  <si>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</si>
  <si>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</si>
  <si>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</si>
  <si>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</si>
  <si>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</si>
  <si>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</si>
  <si>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</si>
  <si>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</si>
  <si>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</si>
  <si>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</si>
  <si>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</si>
  <si>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</si>
  <si>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</si>
  <si>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</si>
  <si>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</si>
  <si>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</si>
  <si>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</si>
  <si>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</si>
  <si>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</si>
  <si>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</si>
  <si>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</si>
  <si>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</si>
  <si>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</si>
  <si>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</si>
  <si>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</si>
  <si>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</si>
  <si>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</si>
  <si>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</si>
  <si>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</si>
  <si>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</si>
  <si>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</si>
  <si>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</si>
  <si>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</si>
  <si>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</si>
  <si>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</si>
  <si>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</si>
  <si>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</si>
  <si>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</si>
  <si>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</si>
  <si>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</si>
  <si>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</si>
  <si>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</si>
  <si>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</si>
  <si>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</si>
  <si>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</si>
  <si>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</si>
  <si>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</si>
  <si>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</si>
  <si>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</si>
  <si>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</si>
  <si>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</si>
  <si>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</si>
  <si>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</si>
  <si>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</si>
  <si>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</si>
  <si>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</si>
  <si>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</si>
  <si>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</si>
  <si>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</si>
  <si>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</si>
  <si>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</si>
  <si>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</si>
  <si>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</si>
  <si>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</si>
  <si>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</si>
  <si>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</si>
  <si>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</si>
  <si>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</si>
  <si>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</si>
  <si>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</si>
  <si>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</si>
  <si>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</si>
  <si>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</si>
  <si>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</si>
  <si>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</si>
  <si>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</si>
  <si>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</si>
  <si>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</si>
  <si>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</si>
  <si>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</si>
  <si>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</si>
  <si>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</si>
  <si>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</si>
  <si>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</si>
  <si>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</si>
  <si>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</si>
  <si>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</si>
  <si>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</si>
  <si>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</si>
  <si>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</si>
  <si>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</si>
  <si>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</si>
  <si>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</si>
  <si>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</si>
  <si>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</si>
  <si>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</si>
  <si>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</si>
  <si>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</si>
  <si>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</si>
  <si>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</si>
  <si>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</si>
  <si>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</si>
  <si>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</si>
  <si>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</si>
  <si>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</si>
  <si>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</si>
  <si>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</si>
  <si>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</si>
  <si>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</si>
  <si>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</si>
  <si>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</si>
  <si>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</si>
  <si>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</si>
  <si>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</si>
  <si>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</si>
  <si>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</si>
  <si>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</si>
  <si>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</si>
  <si>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</si>
  <si>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</si>
  <si>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</si>
  <si>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</si>
  <si>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</si>
  <si>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</si>
  <si>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</si>
  <si>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</si>
  <si>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</si>
  <si>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</si>
  <si>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</si>
  <si>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</si>
  <si>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</si>
  <si>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</si>
  <si>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</si>
  <si>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</si>
  <si>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</si>
  <si>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</si>
  <si>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</si>
  <si>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</si>
  <si>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</si>
  <si>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</si>
  <si>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</si>
  <si>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</si>
  <si>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</si>
  <si>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</si>
  <si>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</si>
  <si>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</si>
  <si>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</si>
  <si>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</si>
  <si>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</si>
  <si>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</si>
  <si>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</si>
  <si>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</si>
  <si>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</si>
  <si>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</si>
  <si>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</si>
  <si>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</si>
  <si>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</si>
  <si>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</si>
  <si>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</si>
  <si>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</si>
  <si>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</si>
  <si>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</si>
  <si>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</si>
  <si>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</si>
  <si>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</si>
  <si>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</si>
  <si>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</si>
  <si>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</si>
  <si>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</si>
  <si>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</si>
  <si>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</si>
  <si>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</si>
  <si>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</si>
  <si>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</si>
  <si>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</si>
  <si>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</si>
  <si>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</si>
  <si>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</si>
  <si>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</si>
  <si>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</si>
  <si>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</si>
  <si>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</si>
  <si>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</si>
  <si>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</si>
  <si>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</si>
  <si>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</si>
  <si>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</si>
  <si>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</si>
  <si>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</si>
  <si>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</si>
  <si>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</si>
  <si>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</si>
  <si>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</si>
  <si>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</si>
  <si>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</si>
  <si>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</si>
  <si>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</si>
  <si>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</si>
  <si>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</si>
  <si>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</si>
  <si>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</si>
  <si>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</si>
  <si>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</si>
  <si>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</si>
  <si>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</si>
  <si>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</si>
  <si>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</si>
  <si>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</si>
  <si>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</si>
  <si>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</si>
  <si>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</si>
  <si>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</si>
  <si>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</si>
  <si>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</si>
  <si>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</si>
  <si>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</si>
  <si>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</si>
  <si>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</si>
  <si>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</si>
  <si>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</si>
  <si>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</si>
  <si>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</si>
  <si>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</si>
  <si>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</si>
  <si>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</si>
  <si>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</si>
  <si>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</si>
  <si>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</si>
  <si>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</si>
  <si>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</si>
  <si>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</si>
  <si>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</si>
  <si>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</si>
  <si>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</si>
  <si>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</si>
  <si>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</si>
  <si>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</si>
  <si>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</si>
  <si>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</si>
  <si>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</si>
  <si>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</si>
  <si>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</si>
  <si>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</si>
  <si>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</si>
  <si>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</si>
  <si>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</si>
  <si>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</si>
  <si>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</si>
  <si>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</si>
  <si>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</si>
  <si>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</si>
  <si>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</si>
  <si>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</si>
  <si>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</si>
  <si>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</si>
  <si>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</si>
  <si>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</si>
  <si>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</si>
  <si>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</si>
  <si>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</si>
  <si>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</si>
  <si>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</si>
  <si>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</si>
  <si>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</si>
  <si>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</si>
  <si>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</si>
  <si>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</si>
  <si>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</si>
  <si>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</si>
  <si>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</si>
  <si>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</si>
  <si>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</si>
  <si>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</si>
  <si>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</si>
  <si>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</si>
  <si>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</si>
  <si>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</si>
  <si>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</si>
  <si>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</si>
  <si>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</si>
  <si>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</si>
  <si>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</si>
  <si>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</si>
  <si>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</si>
  <si>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</si>
  <si>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</si>
  <si>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</si>
  <si>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</si>
  <si>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</si>
  <si>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</si>
  <si>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</si>
  <si>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</si>
  <si>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</si>
  <si>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</si>
  <si>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</si>
  <si>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</si>
  <si>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</si>
  <si>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</si>
  <si>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</si>
  <si>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</si>
  <si>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</si>
  <si>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</si>
  <si>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</si>
  <si>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</si>
  <si>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</si>
  <si>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</si>
  <si>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</si>
  <si>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</si>
  <si>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</si>
  <si>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</si>
  <si>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</si>
  <si>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</si>
  <si>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</si>
  <si>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</si>
  <si>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</si>
  <si>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</si>
  <si>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</si>
  <si>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</si>
  <si>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</si>
  <si>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</si>
  <si>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</si>
  <si>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</si>
  <si>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</si>
  <si>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</si>
  <si>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</si>
  <si>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</si>
  <si>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</si>
  <si>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</si>
  <si>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</si>
  <si>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</si>
  <si>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</si>
  <si>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</si>
  <si>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</si>
  <si>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</si>
  <si>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</si>
  <si>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</si>
  <si>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</si>
  <si>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</si>
  <si>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</si>
  <si>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</si>
  <si>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</si>
  <si>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</si>
  <si>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</si>
  <si>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</si>
  <si>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</si>
  <si>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</si>
  <si>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</si>
  <si>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</si>
  <si>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</si>
  <si>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</si>
  <si>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</si>
  <si>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</si>
  <si>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</si>
  <si>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</si>
  <si>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</si>
  <si>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</si>
  <si>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</si>
  <si>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</si>
  <si>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</si>
  <si>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</si>
  <si>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</si>
  <si>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</si>
  <si>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</si>
  <si>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</si>
  <si>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</si>
  <si>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</si>
  <si>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</si>
  <si>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</si>
  <si>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</si>
  <si>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</si>
  <si>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</si>
  <si>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</si>
  <si>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</si>
  <si>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</si>
  <si>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</si>
  <si>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</si>
  <si>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</si>
  <si>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</si>
  <si>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</si>
  <si>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</si>
  <si>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</si>
  <si>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</si>
  <si>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</si>
  <si>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</si>
  <si>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</si>
  <si>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</si>
  <si>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</si>
  <si>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</si>
  <si>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</si>
  <si>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</si>
  <si>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</si>
  <si>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</si>
  <si>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</si>
  <si>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</si>
  <si>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</si>
  <si>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</si>
  <si>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</si>
  <si>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</si>
  <si>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</si>
  <si>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</si>
  <si>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</si>
  <si>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</si>
  <si>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</si>
  <si>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</si>
  <si>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</si>
  <si>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</si>
  <si>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</si>
  <si>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</si>
  <si>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</si>
  <si>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</si>
  <si>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</si>
  <si>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</si>
  <si>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</si>
  <si>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</si>
  <si>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</si>
  <si>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</si>
  <si>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</si>
  <si>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</si>
  <si>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</si>
  <si>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</si>
  <si>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</si>
  <si>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</si>
  <si>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</si>
  <si>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</si>
  <si>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</si>
  <si>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</si>
  <si>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</si>
  <si>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</si>
  <si>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</si>
  <si>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</si>
  <si>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</si>
  <si>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</si>
  <si>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</si>
  <si>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</si>
  <si>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</si>
  <si>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</si>
  <si>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</si>
  <si>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</si>
  <si>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</si>
  <si>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</si>
  <si>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</si>
  <si>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</si>
  <si>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</si>
  <si>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</si>
  <si>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</si>
  <si>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</si>
  <si>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</si>
  <si>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</si>
  <si>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</si>
  <si>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</si>
  <si>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</si>
  <si>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</si>
  <si>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</si>
  <si>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</si>
  <si>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</si>
  <si>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</si>
  <si>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</si>
  <si>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</si>
  <si>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</si>
  <si>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</si>
  <si>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</si>
  <si>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</si>
  <si>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</si>
  <si>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</si>
  <si>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</si>
  <si>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</si>
  <si>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</si>
  <si>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</si>
  <si>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</si>
  <si>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</si>
  <si>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</si>
  <si>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</si>
  <si>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</si>
  <si>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</si>
  <si>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</si>
  <si>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</si>
  <si>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</si>
  <si>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</si>
  <si>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</si>
  <si>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</si>
  <si>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</si>
  <si>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</si>
  <si>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</si>
  <si>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</si>
  <si>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</si>
  <si>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</si>
  <si>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</si>
  <si>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</si>
  <si>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</si>
  <si>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</si>
  <si>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</si>
  <si>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</si>
  <si>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</si>
  <si>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</si>
  <si>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</si>
  <si>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</si>
  <si>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</si>
  <si>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</si>
  <si>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</si>
  <si>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</si>
  <si>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</si>
  <si>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</si>
  <si>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</si>
  <si>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</si>
  <si>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</si>
  <si>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</si>
  <si>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</si>
  <si>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</si>
  <si>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</si>
  <si>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</si>
  <si>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</si>
  <si>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</si>
  <si>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</si>
  <si>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</si>
  <si>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</si>
  <si>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</si>
  <si>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</si>
  <si>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</si>
  <si>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</si>
  <si>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</si>
  <si>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</si>
  <si>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</si>
  <si>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</si>
  <si>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</si>
  <si>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</si>
  <si>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</si>
  <si>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</si>
  <si>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</si>
  <si>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</si>
  <si>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</si>
  <si>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</si>
  <si>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</si>
  <si>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</si>
  <si>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</si>
  <si>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</si>
  <si>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</si>
  <si>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</si>
  <si>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</si>
  <si>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</si>
  <si>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</si>
  <si>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</si>
  <si>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</si>
  <si>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</si>
  <si>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</si>
  <si>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</si>
  <si>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</si>
  <si>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</si>
  <si>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</si>
  <si>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</si>
  <si>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</si>
  <si>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</si>
  <si>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</si>
  <si>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</si>
  <si>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</si>
  <si>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</si>
  <si>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</si>
  <si>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</si>
  <si>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</si>
  <si>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</si>
  <si>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</si>
  <si>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</si>
  <si>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</si>
  <si>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</si>
  <si>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</si>
  <si>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</si>
  <si>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</si>
  <si>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</si>
  <si>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</si>
  <si>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</si>
  <si>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</si>
  <si>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</si>
  <si>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</si>
  <si>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</si>
  <si>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</si>
  <si>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</si>
  <si>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</si>
  <si>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</si>
  <si>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</si>
  <si>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</si>
  <si>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</si>
  <si>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</si>
  <si>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</si>
  <si>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</si>
  <si>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</si>
  <si>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</si>
  <si>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</si>
  <si>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</si>
  <si>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</si>
  <si>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</si>
  <si>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</si>
  <si>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</si>
  <si>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</si>
  <si>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</si>
  <si>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</si>
  <si>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</si>
  <si>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</si>
  <si>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</si>
  <si>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</si>
  <si>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</si>
  <si>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</si>
  <si>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</si>
  <si>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</si>
  <si>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</si>
  <si>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</si>
  <si>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</si>
  <si>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</si>
  <si>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</si>
  <si>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</si>
  <si>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</si>
  <si>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</si>
  <si>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</si>
  <si>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</si>
  <si>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</si>
  <si>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</si>
  <si>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</si>
  <si>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</si>
  <si>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</si>
  <si>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</si>
  <si>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</si>
  <si>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</si>
  <si>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</si>
  <si>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</si>
  <si>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</si>
  <si>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</si>
  <si>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</si>
  <si>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</si>
  <si>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</si>
  <si>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</si>
  <si>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</si>
  <si>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</si>
  <si>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</si>
  <si>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</si>
  <si>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</si>
  <si>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</si>
  <si>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</si>
  <si>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</si>
  <si>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</si>
  <si>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</si>
  <si>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</si>
  <si>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</si>
  <si>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</si>
  <si>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</si>
  <si>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</si>
  <si>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</si>
  <si>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</si>
  <si>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</si>
  <si>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</si>
  <si>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</si>
  <si>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</si>
  <si>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</si>
  <si>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</si>
  <si>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</si>
  <si>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</si>
  <si>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</si>
  <si>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</si>
  <si>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</si>
  <si>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</si>
  <si>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</si>
  <si>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</si>
  <si>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</si>
  <si>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</si>
  <si>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</si>
  <si>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</si>
  <si>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</si>
  <si>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</si>
  <si>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</si>
  <si>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</si>
  <si>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</si>
  <si>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</si>
  <si>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</si>
  <si>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</si>
  <si>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</si>
  <si>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</si>
  <si>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</si>
  <si>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</si>
  <si>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</si>
  <si>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</si>
  <si>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</si>
  <si>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</si>
  <si>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</si>
  <si>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</si>
  <si>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</si>
  <si>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</si>
  <si>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</si>
  <si>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</si>
  <si>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</si>
  <si>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</si>
  <si>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</si>
  <si>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</si>
  <si>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</si>
  <si>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</si>
  <si>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</si>
  <si>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</si>
  <si>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</si>
  <si>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</si>
  <si>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</si>
  <si>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</si>
  <si>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</si>
  <si>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</si>
  <si>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</si>
  <si>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</si>
  <si>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</si>
  <si>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</si>
  <si>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</si>
  <si>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</si>
  <si>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</si>
  <si>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</si>
  <si>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</si>
  <si>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</si>
  <si>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</si>
  <si>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</si>
  <si>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</si>
  <si>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</si>
  <si>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</si>
  <si>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</si>
  <si>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</si>
  <si>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</si>
  <si>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</si>
  <si>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</si>
  <si>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</si>
  <si>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</si>
  <si>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</si>
  <si>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</si>
  <si>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</si>
  <si>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</si>
  <si>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</si>
  <si>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</si>
  <si>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</si>
  <si>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</si>
  <si>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</si>
  <si>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</si>
  <si>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</si>
  <si>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</si>
  <si>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</si>
  <si>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</si>
  <si>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</si>
  <si>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</si>
  <si>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</si>
  <si>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</si>
  <si>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</si>
  <si>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</si>
  <si>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</si>
  <si>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</si>
  <si>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</si>
  <si>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</si>
  <si>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</si>
  <si>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</si>
  <si>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</si>
  <si>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</si>
  <si>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</si>
  <si>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</si>
  <si>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</si>
  <si>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</si>
  <si>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</si>
  <si>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</si>
  <si>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</si>
  <si>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</si>
  <si>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</si>
  <si>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</si>
  <si>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</si>
  <si>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</si>
  <si>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</si>
  <si>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</si>
  <si>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</si>
  <si>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</si>
  <si>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</si>
  <si>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</si>
  <si>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</si>
  <si>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</si>
  <si>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</si>
  <si>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</si>
  <si>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</si>
  <si>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</si>
  <si>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</si>
  <si>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</si>
  <si>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</si>
  <si>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</si>
  <si>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</si>
  <si>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</si>
  <si>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</si>
  <si>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</si>
  <si>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</si>
  <si>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</si>
  <si>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</si>
  <si>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</si>
  <si>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</si>
  <si>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</si>
  <si>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</si>
  <si>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</si>
  <si>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</si>
  <si>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</si>
  <si>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</si>
  <si>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</si>
  <si>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</si>
  <si>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</si>
  <si>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</si>
  <si>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</si>
  <si>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</si>
  <si>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</si>
  <si>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</si>
  <si>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</si>
  <si>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</si>
  <si>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</si>
  <si>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</si>
  <si>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</si>
  <si>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</si>
  <si>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</si>
  <si>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</si>
  <si>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</si>
  <si>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</si>
  <si>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</si>
  <si>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</si>
  <si>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</si>
  <si>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</si>
  <si>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</si>
  <si>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</si>
  <si>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</si>
  <si>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</si>
  <si>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</si>
  <si>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</si>
  <si>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</si>
  <si>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</si>
  <si>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</si>
  <si>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</si>
  <si>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</si>
  <si>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</si>
  <si>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</si>
  <si>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</si>
  <si>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</si>
  <si>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</si>
  <si>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</si>
  <si>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</si>
  <si>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</si>
  <si>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</si>
  <si>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</si>
  <si>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</si>
  <si>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</si>
  <si>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</si>
  <si>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</si>
  <si>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</si>
  <si>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</si>
  <si>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</si>
  <si>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</si>
  <si>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</si>
  <si>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</si>
  <si>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</si>
  <si>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</si>
  <si>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</si>
  <si>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</si>
  <si>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</si>
  <si>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</si>
  <si>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</si>
  <si>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</si>
  <si>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</si>
  <si>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</si>
  <si>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</si>
  <si>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</si>
  <si>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</si>
  <si>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</si>
  <si>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</si>
  <si>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</si>
  <si>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</si>
  <si>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</si>
  <si>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</si>
  <si>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</si>
  <si>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</si>
  <si>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</si>
  <si>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</si>
  <si>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</si>
  <si>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</si>
  <si>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</si>
  <si>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</si>
  <si>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</si>
  <si>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</si>
  <si>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</si>
  <si>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</si>
  <si>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</si>
  <si>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</si>
  <si>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</si>
  <si>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</si>
  <si>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</si>
  <si>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</si>
  <si>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</si>
  <si>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</si>
  <si>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</si>
  <si>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</si>
  <si>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</si>
  <si>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</si>
  <si>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</si>
  <si>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</si>
  <si>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</si>
  <si>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</si>
  <si>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</si>
  <si>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</si>
  <si>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</si>
  <si>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</si>
  <si>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</si>
  <si>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</si>
  <si>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</si>
  <si>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</si>
  <si>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</si>
  <si>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</si>
  <si>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</si>
  <si>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</si>
  <si>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</si>
  <si>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</si>
  <si>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</si>
  <si>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</si>
  <si>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</si>
  <si>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</si>
  <si>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</si>
  <si>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</si>
  <si>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</si>
  <si>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</si>
  <si>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</si>
  <si>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</si>
  <si>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</si>
  <si>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</si>
  <si>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</si>
  <si>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</si>
  <si>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</si>
  <si>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</si>
  <si>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</si>
  <si>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</si>
  <si>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</si>
  <si>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</si>
  <si>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</si>
  <si>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</si>
  <si>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</si>
  <si>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</si>
  <si>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</si>
  <si>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</si>
  <si>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</si>
  <si>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</si>
  <si>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</si>
  <si>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</si>
  <si>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</si>
  <si>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</si>
  <si>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</si>
  <si>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</si>
  <si>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</si>
  <si>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</si>
  <si>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</si>
  <si>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</si>
  <si>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</si>
  <si>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</si>
  <si>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</si>
  <si>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</si>
  <si>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</si>
  <si>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</si>
  <si>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</si>
  <si>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</si>
  <si>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</si>
  <si>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</si>
  <si>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</si>
  <si>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</si>
  <si>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</si>
  <si>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</si>
  <si>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</si>
  <si>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</si>
  <si>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</si>
  <si>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</si>
  <si>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</si>
  <si>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</si>
  <si>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</si>
  <si>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</si>
  <si>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</si>
  <si>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</si>
  <si>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</si>
  <si>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</si>
  <si>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</si>
  <si>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</si>
  <si>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</si>
  <si>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</si>
  <si>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</si>
  <si>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</si>
  <si>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</si>
  <si>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</si>
  <si>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Ranking</t>
  </si>
  <si>
    <t>Total Vendido</t>
  </si>
  <si>
    <t>Faça um TOP 3 dos produtos mais vendidos no ano pela marca "Verde"</t>
  </si>
  <si>
    <t>Faça um TOP 5 dos funcionários que mais venderam no ano.</t>
  </si>
  <si>
    <t>Quantas vendas foram realizadas no ano de 2019?</t>
  </si>
  <si>
    <t>Quantas "Camisetas" foram vendidas em 2019?</t>
  </si>
  <si>
    <t>Quantos "Bonés" da marca "Azul" foram vendidos em todo o período?</t>
  </si>
  <si>
    <t>Responda as questões abaixo usando fórmulas:</t>
  </si>
  <si>
    <t>Responda as questões abaixo sem o uso de fórmulas:</t>
  </si>
  <si>
    <t>Qual é a soma do valor de venda da marca "Amarela"?</t>
  </si>
  <si>
    <t>Qual é o valor total vendido de "Saias" da marca "Vermelha"?</t>
  </si>
  <si>
    <t>Quem foi o funcionário que realizou a venda de código "N5E6Q9S3"?</t>
  </si>
  <si>
    <t>Algumas perguntas podem ser respondidas de mais de uma forma, utilizando fórmulas e ferramentas diferentes do Excel. Sempre que se deparar com uma questão como essa, sugiro que responda a mesma questão de todas as formas que conseguir. Pode parecer estranho responder a mesma questão 2 ou 3 vezes, mas vai ser uma excelente prática para você resolver um problema ou desafio no Excel de diversas maneiras possíveis.</t>
  </si>
  <si>
    <t>Você deve responder as questões nas planilhas azuis utilizando as demais planilhas como base de dados. Utilize quaisquer ferramentas aprendidas nos módulos citados anteriormente para responder as questões.</t>
  </si>
  <si>
    <t>Agora pinte a linha inteira de acordo com o País de Destino, não apenas as células da coluna País de Destino. A cor das células da linha deve mudar automaticamente quando o país for alterado.</t>
  </si>
  <si>
    <t>Utilizando a mesma estrutura do exercício anterior, preencha a tabela abaixo considerando apenas as linhas com cor verde.</t>
  </si>
  <si>
    <t>Nocogifo</t>
  </si>
  <si>
    <t>P931H285</t>
  </si>
  <si>
    <t>Vufimago</t>
  </si>
  <si>
    <t>P259H563</t>
  </si>
  <si>
    <t>Pufitutidu</t>
  </si>
  <si>
    <t>P277P698</t>
  </si>
  <si>
    <t>Naneto</t>
  </si>
  <si>
    <t>H339P955</t>
  </si>
  <si>
    <t>Mivoto</t>
  </si>
  <si>
    <t>H633H453</t>
  </si>
  <si>
    <t>Cupute</t>
  </si>
  <si>
    <t>P896P117</t>
  </si>
  <si>
    <t>Tepitamuce</t>
  </si>
  <si>
    <t>H363H622</t>
  </si>
  <si>
    <t>Povedefu</t>
  </si>
  <si>
    <t>P383H632</t>
  </si>
  <si>
    <t>Teputada</t>
  </si>
  <si>
    <t>H119H147</t>
  </si>
  <si>
    <t>Padane</t>
  </si>
  <si>
    <t>H981H522</t>
  </si>
  <si>
    <t>Patefore</t>
  </si>
  <si>
    <t>H535H254</t>
  </si>
  <si>
    <t>Tupigama</t>
  </si>
  <si>
    <t>P652H258</t>
  </si>
  <si>
    <t>Vepica</t>
  </si>
  <si>
    <t>P158H358</t>
  </si>
  <si>
    <t>Naromu</t>
  </si>
  <si>
    <t>P477H432</t>
  </si>
  <si>
    <t>Refiguli</t>
  </si>
  <si>
    <t>P613P712</t>
  </si>
  <si>
    <t>Dapipu</t>
  </si>
  <si>
    <t>H793H366</t>
  </si>
  <si>
    <t>Cagetido</t>
  </si>
  <si>
    <t>H826H694</t>
  </si>
  <si>
    <t>Renapanu</t>
  </si>
  <si>
    <t>P774H536</t>
  </si>
  <si>
    <t>Pitupo</t>
  </si>
  <si>
    <t>H168P867</t>
  </si>
  <si>
    <t>P953P965</t>
  </si>
  <si>
    <t>Momofafe</t>
  </si>
  <si>
    <t>P332H766</t>
  </si>
  <si>
    <t>Vudarufime</t>
  </si>
  <si>
    <t>P698H553</t>
  </si>
  <si>
    <t>Tidatipu</t>
  </si>
  <si>
    <t>P428P482</t>
  </si>
  <si>
    <t>Pularimudi</t>
  </si>
  <si>
    <t>P153P691</t>
  </si>
  <si>
    <t>Pocuro</t>
  </si>
  <si>
    <t>P653H788</t>
  </si>
  <si>
    <t>Pecepari</t>
  </si>
  <si>
    <t>H552H997</t>
  </si>
  <si>
    <t>Dufudoru</t>
  </si>
  <si>
    <t>P128H953</t>
  </si>
  <si>
    <t>Medanolu</t>
  </si>
  <si>
    <t>P528H535</t>
  </si>
  <si>
    <t>Lofarupopo</t>
  </si>
  <si>
    <t>P649P794</t>
  </si>
  <si>
    <t>Lofofupopa</t>
  </si>
  <si>
    <t>P994H295</t>
  </si>
  <si>
    <t>Pogemuca</t>
  </si>
  <si>
    <t>P444P639</t>
  </si>
  <si>
    <t>Tacopeme</t>
  </si>
  <si>
    <t>H562H946</t>
  </si>
  <si>
    <t>Mucivire</t>
  </si>
  <si>
    <t>P111P392</t>
  </si>
  <si>
    <t>Femute</t>
  </si>
  <si>
    <t>H374P277</t>
  </si>
  <si>
    <t>Velididigu</t>
  </si>
  <si>
    <t>H313H311</t>
  </si>
  <si>
    <t>Palata</t>
  </si>
  <si>
    <t>H445H963</t>
  </si>
  <si>
    <t>Vilafa</t>
  </si>
  <si>
    <t>P279H711</t>
  </si>
  <si>
    <t>Vavude</t>
  </si>
  <si>
    <t>P949H129</t>
  </si>
  <si>
    <t>Pafume</t>
  </si>
  <si>
    <t>P572P459</t>
  </si>
  <si>
    <t>Rupuvapatu</t>
  </si>
  <si>
    <t>P848P285</t>
  </si>
  <si>
    <t>Vopupopi</t>
  </si>
  <si>
    <t>P648P328</t>
  </si>
  <si>
    <t>Todudepafa</t>
  </si>
  <si>
    <t>H473H937</t>
  </si>
  <si>
    <t>Numiru</t>
  </si>
  <si>
    <t>P997H849</t>
  </si>
  <si>
    <t>Nudanefeca</t>
  </si>
  <si>
    <t>H422P166</t>
  </si>
  <si>
    <t>Letuvima</t>
  </si>
  <si>
    <t>P982H142</t>
  </si>
  <si>
    <t>Domefiti</t>
  </si>
  <si>
    <t>H135H671</t>
  </si>
  <si>
    <t>Tivorope</t>
  </si>
  <si>
    <t>P799H963</t>
  </si>
  <si>
    <t>Maratu</t>
  </si>
  <si>
    <t>P133P955</t>
  </si>
  <si>
    <t>Topefaru</t>
  </si>
  <si>
    <t>P265H699</t>
  </si>
  <si>
    <t>Futurupa</t>
  </si>
  <si>
    <t>H457P386</t>
  </si>
  <si>
    <t>Tuputupupa</t>
  </si>
  <si>
    <t>H355P394</t>
  </si>
  <si>
    <t>Rulupali</t>
  </si>
  <si>
    <t>P436H682</t>
  </si>
  <si>
    <t>Fevupanu</t>
  </si>
  <si>
    <t>P173H123</t>
  </si>
  <si>
    <t>Dateradido</t>
  </si>
  <si>
    <t>P262H611</t>
  </si>
  <si>
    <t>Fagiru</t>
  </si>
  <si>
    <t>P918H577</t>
  </si>
  <si>
    <t>Cucutimupa</t>
  </si>
  <si>
    <t>H769H593</t>
  </si>
  <si>
    <t>Dedarunage</t>
  </si>
  <si>
    <t>H897H766</t>
  </si>
  <si>
    <t>Veturapupa</t>
  </si>
  <si>
    <t>P899H183</t>
  </si>
  <si>
    <t>Lupomupoti</t>
  </si>
  <si>
    <t>H431H711</t>
  </si>
  <si>
    <t>Mupivunepu</t>
  </si>
  <si>
    <t>P827P836</t>
  </si>
  <si>
    <t>Temufiru</t>
  </si>
  <si>
    <t>P956P793</t>
  </si>
  <si>
    <t>Pacufodu</t>
  </si>
  <si>
    <t>P332P758</t>
  </si>
  <si>
    <t>Tivupi</t>
  </si>
  <si>
    <t>P749H635</t>
  </si>
  <si>
    <t>Tilotinu</t>
  </si>
  <si>
    <t>H812P623</t>
  </si>
  <si>
    <t>Fogecemido</t>
  </si>
  <si>
    <t>P835H347</t>
  </si>
  <si>
    <t>Vopufotopa</t>
  </si>
  <si>
    <t>H798P598</t>
  </si>
  <si>
    <t>Rituta</t>
  </si>
  <si>
    <t>H953P941</t>
  </si>
  <si>
    <t>Pacute</t>
  </si>
  <si>
    <t>P152P294</t>
  </si>
  <si>
    <t>Muriroti</t>
  </si>
  <si>
    <t>P617P337</t>
  </si>
  <si>
    <t>Cutarigu</t>
  </si>
  <si>
    <t>H265P789</t>
  </si>
  <si>
    <t>Mopadu</t>
  </si>
  <si>
    <t>H472H571</t>
  </si>
  <si>
    <t>Genupulu</t>
  </si>
  <si>
    <t>H579H445</t>
  </si>
  <si>
    <t>Tilucenofe</t>
  </si>
  <si>
    <t>P658H995</t>
  </si>
  <si>
    <t>Mecedu</t>
  </si>
  <si>
    <t>H887P318</t>
  </si>
  <si>
    <t>Fomapoto</t>
  </si>
  <si>
    <t>H846P798</t>
  </si>
  <si>
    <t>Moleva</t>
  </si>
  <si>
    <t>P462H584</t>
  </si>
  <si>
    <t>Roracugi</t>
  </si>
  <si>
    <t>H489P126</t>
  </si>
  <si>
    <t>Fogaroru</t>
  </si>
  <si>
    <t>P622H432</t>
  </si>
  <si>
    <t>Pagoputere</t>
  </si>
  <si>
    <t>H736H814</t>
  </si>
  <si>
    <t>Napulu</t>
  </si>
  <si>
    <t>P953P924</t>
  </si>
  <si>
    <t>Ronilufe</t>
  </si>
  <si>
    <t>H662H357</t>
  </si>
  <si>
    <t>Tedaledogi</t>
  </si>
  <si>
    <t>H897P637</t>
  </si>
  <si>
    <t>Rudupe</t>
  </si>
  <si>
    <t>H755P675</t>
  </si>
  <si>
    <t>Ruraro</t>
  </si>
  <si>
    <t>H993P899</t>
  </si>
  <si>
    <t>Rivepatide</t>
  </si>
  <si>
    <t>H231H691</t>
  </si>
  <si>
    <t>Gurolicale</t>
  </si>
  <si>
    <t>H985H459</t>
  </si>
  <si>
    <t>Gotota</t>
  </si>
  <si>
    <t>P228H795</t>
  </si>
  <si>
    <t>Midafigu</t>
  </si>
  <si>
    <t>P489H423</t>
  </si>
  <si>
    <t>Gutipo</t>
  </si>
  <si>
    <t>H851P697</t>
  </si>
  <si>
    <t>Gafaculela</t>
  </si>
  <si>
    <t>P347P286</t>
  </si>
  <si>
    <t>Picade</t>
  </si>
  <si>
    <t>P143H116</t>
  </si>
  <si>
    <t>Lotuni</t>
  </si>
  <si>
    <t>H512H418</t>
  </si>
  <si>
    <t>Rupili</t>
  </si>
  <si>
    <t>P162H328</t>
  </si>
  <si>
    <t>Ruderi</t>
  </si>
  <si>
    <t>P815P956</t>
  </si>
  <si>
    <t>Camecigupe</t>
  </si>
  <si>
    <t>H298H795</t>
  </si>
  <si>
    <t>Napolo</t>
  </si>
  <si>
    <t>P175H793</t>
  </si>
  <si>
    <t>Lapuroci</t>
  </si>
  <si>
    <t>H856P624</t>
  </si>
  <si>
    <t>Donefa</t>
  </si>
  <si>
    <t>P968H689</t>
  </si>
  <si>
    <t>Tupiga</t>
  </si>
  <si>
    <t>H634H756</t>
  </si>
  <si>
    <t>Lomeloro</t>
  </si>
  <si>
    <t>P692P589</t>
  </si>
  <si>
    <t>Gademi</t>
  </si>
  <si>
    <t>P782P382</t>
  </si>
  <si>
    <t>Dapufu</t>
  </si>
  <si>
    <t>H528H692</t>
  </si>
  <si>
    <t>Comenalu</t>
  </si>
  <si>
    <t>P135P461</t>
  </si>
  <si>
    <t>Duputi</t>
  </si>
  <si>
    <t>P964H413</t>
  </si>
  <si>
    <t>Pilurotu</t>
  </si>
  <si>
    <t>H383P883</t>
  </si>
  <si>
    <t>Pipapo</t>
  </si>
  <si>
    <t>H286H897</t>
  </si>
  <si>
    <t>Lucaturene</t>
  </si>
  <si>
    <t>H243H839</t>
  </si>
  <si>
    <t>Poputa</t>
  </si>
  <si>
    <t>P347H837</t>
  </si>
  <si>
    <t>Nimiridapi</t>
  </si>
  <si>
    <t>H485H125</t>
  </si>
  <si>
    <t>Faluru</t>
  </si>
  <si>
    <t>P612H154</t>
  </si>
  <si>
    <t>Lonara</t>
  </si>
  <si>
    <t>P123H191</t>
  </si>
  <si>
    <t>Patide</t>
  </si>
  <si>
    <t>P814P498</t>
  </si>
  <si>
    <t>Tomacuropo</t>
  </si>
  <si>
    <t>P291H883</t>
  </si>
  <si>
    <t>Tirapari</t>
  </si>
  <si>
    <t>P535P863</t>
  </si>
  <si>
    <t>Mifimupo</t>
  </si>
  <si>
    <t>P892H365</t>
  </si>
  <si>
    <t>Raliru</t>
  </si>
  <si>
    <t>H515P175</t>
  </si>
  <si>
    <t>Copope</t>
  </si>
  <si>
    <t>H167H181</t>
  </si>
  <si>
    <t>Cidipe</t>
  </si>
  <si>
    <t>H319H319</t>
  </si>
  <si>
    <t>Pomugafa</t>
  </si>
  <si>
    <t>P542H664</t>
  </si>
  <si>
    <t>Lodiradopo</t>
  </si>
  <si>
    <t>P753H347</t>
  </si>
  <si>
    <t>Venoro</t>
  </si>
  <si>
    <t>H797H836</t>
  </si>
  <si>
    <t>Napido</t>
  </si>
  <si>
    <t>P173H555</t>
  </si>
  <si>
    <t>Ralipa</t>
  </si>
  <si>
    <t>P821H722</t>
  </si>
  <si>
    <t>Vifefififi</t>
  </si>
  <si>
    <t>P142H654</t>
  </si>
  <si>
    <t>Pifotugu</t>
  </si>
  <si>
    <t>H291P247</t>
  </si>
  <si>
    <t>Pepilanuga</t>
  </si>
  <si>
    <t>P535P445</t>
  </si>
  <si>
    <t>Papefe</t>
  </si>
  <si>
    <t>P739H335</t>
  </si>
  <si>
    <t>Rudapope</t>
  </si>
  <si>
    <t>P233H124</t>
  </si>
  <si>
    <t>Potepara</t>
  </si>
  <si>
    <t>H169P189</t>
  </si>
  <si>
    <t>Pararupu</t>
  </si>
  <si>
    <t>P352H717</t>
  </si>
  <si>
    <t>Pigera</t>
  </si>
  <si>
    <t>P458P123</t>
  </si>
  <si>
    <t>Pupotedu</t>
  </si>
  <si>
    <t>P786H638</t>
  </si>
  <si>
    <t>Vaciduvotu</t>
  </si>
  <si>
    <t>H669P474</t>
  </si>
  <si>
    <t>Ciroletapa</t>
  </si>
  <si>
    <t>H275H981</t>
  </si>
  <si>
    <t>Ritima</t>
  </si>
  <si>
    <t>H561P866</t>
  </si>
  <si>
    <t>Runite</t>
  </si>
  <si>
    <t>P342H318</t>
  </si>
  <si>
    <t>Poruritile</t>
  </si>
  <si>
    <t>P261P484</t>
  </si>
  <si>
    <t>Mepilevano</t>
  </si>
  <si>
    <t>H845H617</t>
  </si>
  <si>
    <t>Ganice</t>
  </si>
  <si>
    <t>H673P571</t>
  </si>
  <si>
    <t>Titucine</t>
  </si>
  <si>
    <t>P537P838</t>
  </si>
  <si>
    <t>Pepeti</t>
  </si>
  <si>
    <t>P435P595</t>
  </si>
  <si>
    <t>Ritolu</t>
  </si>
  <si>
    <t>H664H592</t>
  </si>
  <si>
    <t>Notilopeto</t>
  </si>
  <si>
    <t>H667P322</t>
  </si>
  <si>
    <t>Mocuvu</t>
  </si>
  <si>
    <t>P646H464</t>
  </si>
  <si>
    <t>Fepurafi</t>
  </si>
  <si>
    <t>H955H397</t>
  </si>
  <si>
    <t>Fudotemi</t>
  </si>
  <si>
    <t>P753H951</t>
  </si>
  <si>
    <t>Gofolo</t>
  </si>
  <si>
    <t>P838P854</t>
  </si>
  <si>
    <t>Palulato</t>
  </si>
  <si>
    <t>P751P577</t>
  </si>
  <si>
    <t>Gofela</t>
  </si>
  <si>
    <t>P126H935</t>
  </si>
  <si>
    <t>Lifirupuci</t>
  </si>
  <si>
    <t>H314H331</t>
  </si>
  <si>
    <t>Papera</t>
  </si>
  <si>
    <t>P538P138</t>
  </si>
  <si>
    <t>Rodumi</t>
  </si>
  <si>
    <t>H899H329</t>
  </si>
  <si>
    <t>Polapu</t>
  </si>
  <si>
    <t>H324P972</t>
  </si>
  <si>
    <t>Teduge</t>
  </si>
  <si>
    <t>P638H218</t>
  </si>
  <si>
    <t>Minuvete</t>
  </si>
  <si>
    <t>H481H884</t>
  </si>
  <si>
    <t>Padode</t>
  </si>
  <si>
    <t>H155H847</t>
  </si>
  <si>
    <t>Vevefi</t>
  </si>
  <si>
    <t>P111P925</t>
  </si>
  <si>
    <t>Radivevu</t>
  </si>
  <si>
    <t>P967P371</t>
  </si>
  <si>
    <t>Darulitu</t>
  </si>
  <si>
    <t>P743H539</t>
  </si>
  <si>
    <t>Pepora</t>
  </si>
  <si>
    <t>P393H894</t>
  </si>
  <si>
    <t>Pugagotira</t>
  </si>
  <si>
    <t>P716H289</t>
  </si>
  <si>
    <t>Logome</t>
  </si>
  <si>
    <t>H566H869</t>
  </si>
  <si>
    <t>Rutapepoli</t>
  </si>
  <si>
    <t>H788P443</t>
  </si>
  <si>
    <t>Notavera</t>
  </si>
  <si>
    <t>P888H938</t>
  </si>
  <si>
    <t>Devadetu</t>
  </si>
  <si>
    <t>H865P725</t>
  </si>
  <si>
    <t>Renepamere</t>
  </si>
  <si>
    <t>H652H711</t>
  </si>
  <si>
    <t>Picamu</t>
  </si>
  <si>
    <t>H536H244</t>
  </si>
  <si>
    <t>Mipivopofi</t>
  </si>
  <si>
    <t>H991H184</t>
  </si>
  <si>
    <t>Pemapa</t>
  </si>
  <si>
    <t>P882P415</t>
  </si>
  <si>
    <t>Povipi</t>
  </si>
  <si>
    <t>H915P173</t>
  </si>
  <si>
    <t>Vegotapupe</t>
  </si>
  <si>
    <t>H222P521</t>
  </si>
  <si>
    <t>Pirefa</t>
  </si>
  <si>
    <t>P887H631</t>
  </si>
  <si>
    <t>Datopepe</t>
  </si>
  <si>
    <t>P739H348</t>
  </si>
  <si>
    <t>Lefufu</t>
  </si>
  <si>
    <t>P116H918</t>
  </si>
  <si>
    <t>Vumicida</t>
  </si>
  <si>
    <t>P251H191</t>
  </si>
  <si>
    <t>Ponegifape</t>
  </si>
  <si>
    <t>P962P938</t>
  </si>
  <si>
    <t>Gupivodare</t>
  </si>
  <si>
    <t>P776P514</t>
  </si>
  <si>
    <t>Perupinace</t>
  </si>
  <si>
    <t>P263P296</t>
  </si>
  <si>
    <t>Purevacuve</t>
  </si>
  <si>
    <t>H331H332</t>
  </si>
  <si>
    <t>Metena</t>
  </si>
  <si>
    <t>P776P684</t>
  </si>
  <si>
    <t>Papidimipe</t>
  </si>
  <si>
    <t>H242H241</t>
  </si>
  <si>
    <t>Lipiripo</t>
  </si>
  <si>
    <t>P314P454</t>
  </si>
  <si>
    <t>Depagimera</t>
  </si>
  <si>
    <t>P571H459</t>
  </si>
  <si>
    <t>Pepigefuro</t>
  </si>
  <si>
    <t>H861H979</t>
  </si>
  <si>
    <t>Palarafura</t>
  </si>
  <si>
    <t>P179H341</t>
  </si>
  <si>
    <t>Puripale</t>
  </si>
  <si>
    <t>P635H863</t>
  </si>
  <si>
    <t>Ruponi</t>
  </si>
  <si>
    <t>H915P599</t>
  </si>
  <si>
    <t>Ripavedofe</t>
  </si>
  <si>
    <t>H137H699</t>
  </si>
  <si>
    <t>Doperugeca</t>
  </si>
  <si>
    <t>H983P292</t>
  </si>
  <si>
    <t>Roguvutaro</t>
  </si>
  <si>
    <t>P186H675</t>
  </si>
  <si>
    <t>Pepinepu</t>
  </si>
  <si>
    <t>P299H714</t>
  </si>
  <si>
    <t>Cirati</t>
  </si>
  <si>
    <t>P132P126</t>
  </si>
  <si>
    <t>Metigapa</t>
  </si>
  <si>
    <t>H376H488</t>
  </si>
  <si>
    <t>Litavolu</t>
  </si>
  <si>
    <t>H873P158</t>
  </si>
  <si>
    <t>Feturo</t>
  </si>
  <si>
    <t>H218P333</t>
  </si>
  <si>
    <t>Rupina</t>
  </si>
  <si>
    <t>H868H654</t>
  </si>
  <si>
    <t>Rarulutapu</t>
  </si>
  <si>
    <t>P484H971</t>
  </si>
  <si>
    <t>Mecade</t>
  </si>
  <si>
    <t>P582P142</t>
  </si>
  <si>
    <t>Raleru</t>
  </si>
  <si>
    <t>H876H716</t>
  </si>
  <si>
    <t>Rirepi</t>
  </si>
  <si>
    <t>P732P211</t>
  </si>
  <si>
    <t>Totoratoti</t>
  </si>
  <si>
    <t>H136P937</t>
  </si>
  <si>
    <t>Cevorutupe</t>
  </si>
  <si>
    <t>H581H944</t>
  </si>
  <si>
    <t>Mapano</t>
  </si>
  <si>
    <t>H868H947</t>
  </si>
  <si>
    <t>Pafomurule</t>
  </si>
  <si>
    <t>P451H522</t>
  </si>
  <si>
    <t>Marofacavo</t>
  </si>
  <si>
    <t>H813H463</t>
  </si>
  <si>
    <t>Fapuvi</t>
  </si>
  <si>
    <t>H878P295</t>
  </si>
  <si>
    <t>Tupipa</t>
  </si>
  <si>
    <t>H578H231</t>
  </si>
  <si>
    <t>Digato</t>
  </si>
  <si>
    <t>H385P191</t>
  </si>
  <si>
    <t>Rapurefopu</t>
  </si>
  <si>
    <t>P847P267</t>
  </si>
  <si>
    <t>Namine</t>
  </si>
  <si>
    <t>H694P135</t>
  </si>
  <si>
    <t>Parotuvine</t>
  </si>
  <si>
    <t>H266P413</t>
  </si>
  <si>
    <t>Remafafopo</t>
  </si>
  <si>
    <t>H929P163</t>
  </si>
  <si>
    <t>Gipuri</t>
  </si>
  <si>
    <t>P461H612</t>
  </si>
  <si>
    <t>Popara</t>
  </si>
  <si>
    <t>H156P839</t>
  </si>
  <si>
    <t>Conopenugo</t>
  </si>
  <si>
    <t>H126P674</t>
  </si>
  <si>
    <t>Pigedicapi</t>
  </si>
  <si>
    <t>H817P737</t>
  </si>
  <si>
    <t>Puranacu</t>
  </si>
  <si>
    <t>H116P327</t>
  </si>
  <si>
    <t>Purapo</t>
  </si>
  <si>
    <t>P798H132</t>
  </si>
  <si>
    <t>Tomipupuvo</t>
  </si>
  <si>
    <t>H848P245</t>
  </si>
  <si>
    <t>Rupatoramu</t>
  </si>
  <si>
    <t>H161P797</t>
  </si>
  <si>
    <t>Racefevi</t>
  </si>
  <si>
    <t>H446P233</t>
  </si>
  <si>
    <t>Meteti</t>
  </si>
  <si>
    <t>P537P862</t>
  </si>
  <si>
    <t>Fetotu</t>
  </si>
  <si>
    <t>H696H648</t>
  </si>
  <si>
    <t>Tecotitire</t>
  </si>
  <si>
    <t>P768P732</t>
  </si>
  <si>
    <t>Ropuritono</t>
  </si>
  <si>
    <t>P526P262</t>
  </si>
  <si>
    <t>Docudo</t>
  </si>
  <si>
    <t>H497H747</t>
  </si>
  <si>
    <t>Patilodula</t>
  </si>
  <si>
    <t>H758H761</t>
  </si>
  <si>
    <t>Ramuri</t>
  </si>
  <si>
    <t>P411P331</t>
  </si>
  <si>
    <t>Tecegamoti</t>
  </si>
  <si>
    <t>P655H175</t>
  </si>
  <si>
    <t>Carafopiro</t>
  </si>
  <si>
    <t>H995H745</t>
  </si>
  <si>
    <t>Fupupotepa</t>
  </si>
  <si>
    <t>P863H316</t>
  </si>
  <si>
    <t>Muvutatima</t>
  </si>
  <si>
    <t>P226H964</t>
  </si>
  <si>
    <t>Goretigu</t>
  </si>
  <si>
    <t>H576P423</t>
  </si>
  <si>
    <t>Pirumi</t>
  </si>
  <si>
    <t>H878P976</t>
  </si>
  <si>
    <t>Tipelege</t>
  </si>
  <si>
    <t>P525H789</t>
  </si>
  <si>
    <t>Mafamumuma</t>
  </si>
  <si>
    <t>P299P929</t>
  </si>
  <si>
    <t>Darura</t>
  </si>
  <si>
    <t>P635P391</t>
  </si>
  <si>
    <t>Paneritaru</t>
  </si>
  <si>
    <t>P521H992</t>
  </si>
  <si>
    <t>Dufure</t>
  </si>
  <si>
    <t>H925P759</t>
  </si>
  <si>
    <t>Ropanuguvo</t>
  </si>
  <si>
    <t>H596P197</t>
  </si>
  <si>
    <t>Ruputavefa</t>
  </si>
  <si>
    <t>P823P294</t>
  </si>
  <si>
    <t>Pipuro</t>
  </si>
  <si>
    <t>P579H785</t>
  </si>
  <si>
    <t>Cevoto</t>
  </si>
  <si>
    <t>H353P431</t>
  </si>
  <si>
    <t>Penutofale</t>
  </si>
  <si>
    <t>H863P434</t>
  </si>
  <si>
    <t>Fureta</t>
  </si>
  <si>
    <t>P639H883</t>
  </si>
  <si>
    <t>Tefimenuvi</t>
  </si>
  <si>
    <t>P823H623</t>
  </si>
  <si>
    <t>Lifipavedi</t>
  </si>
  <si>
    <t>P596H712</t>
  </si>
  <si>
    <t>Puravu</t>
  </si>
  <si>
    <t>H353P489</t>
  </si>
  <si>
    <t>Raretopa</t>
  </si>
  <si>
    <t>P135H989</t>
  </si>
  <si>
    <t>Potice</t>
  </si>
  <si>
    <t>H576H859</t>
  </si>
  <si>
    <t>Panetepu</t>
  </si>
  <si>
    <t>H149H948</t>
  </si>
  <si>
    <t>Gimarelefi</t>
  </si>
  <si>
    <t>P611H548</t>
  </si>
  <si>
    <t>Tepufe</t>
  </si>
  <si>
    <t>H651H568</t>
  </si>
  <si>
    <t>Tapodi</t>
  </si>
  <si>
    <t>P288H255</t>
  </si>
  <si>
    <t>Pecanemi</t>
  </si>
  <si>
    <t>H259H941</t>
  </si>
  <si>
    <t>Ledipada</t>
  </si>
  <si>
    <t>P895P847</t>
  </si>
  <si>
    <t>Gipecemura</t>
  </si>
  <si>
    <t>H544P832</t>
  </si>
  <si>
    <t>Tepipunaro</t>
  </si>
  <si>
    <t>H377H181</t>
  </si>
  <si>
    <t>Tavopo</t>
  </si>
  <si>
    <t>H597P257</t>
  </si>
  <si>
    <t>Titicume</t>
  </si>
  <si>
    <t>H671P679</t>
  </si>
  <si>
    <t>Rurofelupa</t>
  </si>
  <si>
    <t>Rapitepe</t>
  </si>
  <si>
    <t>P169H534</t>
  </si>
  <si>
    <t>Pepipafide</t>
  </si>
  <si>
    <t>H693H393</t>
  </si>
  <si>
    <t>Putafative</t>
  </si>
  <si>
    <t>H827H719</t>
  </si>
  <si>
    <t>Demurada</t>
  </si>
  <si>
    <t>H182P139</t>
  </si>
  <si>
    <t>Pideputopu</t>
  </si>
  <si>
    <t>P627P564</t>
  </si>
  <si>
    <t>Fadetige</t>
  </si>
  <si>
    <t>H543H718</t>
  </si>
  <si>
    <t>Tepamo</t>
  </si>
  <si>
    <t>H912P614</t>
  </si>
  <si>
    <t>Dagila</t>
  </si>
  <si>
    <t>P363H756</t>
  </si>
  <si>
    <t>Litetofadi</t>
  </si>
  <si>
    <t>P484H525</t>
  </si>
  <si>
    <t>Padacanuvo</t>
  </si>
  <si>
    <t>P596H154</t>
  </si>
  <si>
    <t>Ponevedo</t>
  </si>
  <si>
    <t>P946P642</t>
  </si>
  <si>
    <t>Titumuno</t>
  </si>
  <si>
    <t>P447P367</t>
  </si>
  <si>
    <t>Pidopo</t>
  </si>
  <si>
    <t>H681H378</t>
  </si>
  <si>
    <t>Muvuro</t>
  </si>
  <si>
    <t>P479P431</t>
  </si>
  <si>
    <t>Tilodaderi</t>
  </si>
  <si>
    <t>H343P826</t>
  </si>
  <si>
    <t>Tilapodara</t>
  </si>
  <si>
    <t>H834P537</t>
  </si>
  <si>
    <t>Panifo</t>
  </si>
  <si>
    <t>H592P976</t>
  </si>
  <si>
    <t>Nacumo</t>
  </si>
  <si>
    <t>H559H423</t>
  </si>
  <si>
    <t>Pufategi</t>
  </si>
  <si>
    <t>P627P474</t>
  </si>
  <si>
    <t>Celutetilu</t>
  </si>
  <si>
    <t>H114H214</t>
  </si>
  <si>
    <t>Fafofefi</t>
  </si>
  <si>
    <t>H441H344</t>
  </si>
  <si>
    <t>Radopa</t>
  </si>
  <si>
    <t>H595H199</t>
  </si>
  <si>
    <t>Pupere</t>
  </si>
  <si>
    <t>P336P841</t>
  </si>
  <si>
    <t>Turunapi</t>
  </si>
  <si>
    <t>P994P292</t>
  </si>
  <si>
    <t>Rerafigilu</t>
  </si>
  <si>
    <t>P272H951</t>
  </si>
  <si>
    <t>Pipapata</t>
  </si>
  <si>
    <t>P358H299</t>
  </si>
  <si>
    <t>Diropova</t>
  </si>
  <si>
    <t>P547P115</t>
  </si>
  <si>
    <t>Cepirateru</t>
  </si>
  <si>
    <t>H917P789</t>
  </si>
  <si>
    <t>Ruregici</t>
  </si>
  <si>
    <t>H766H676</t>
  </si>
  <si>
    <t>Ripepu</t>
  </si>
  <si>
    <t>P372P686</t>
  </si>
  <si>
    <t>Lipevuleca</t>
  </si>
  <si>
    <t>H464H596</t>
  </si>
  <si>
    <t>Lipatimu</t>
  </si>
  <si>
    <t>H667H748</t>
  </si>
  <si>
    <t>Togunada</t>
  </si>
  <si>
    <t>P167H491</t>
  </si>
  <si>
    <t>Luluca</t>
  </si>
  <si>
    <t>P823H942</t>
  </si>
  <si>
    <t>Nicede</t>
  </si>
  <si>
    <t>H272P795</t>
  </si>
  <si>
    <t>Vorugeramo</t>
  </si>
  <si>
    <t>P357P698</t>
  </si>
  <si>
    <t>Paramoco</t>
  </si>
  <si>
    <t>H536P726</t>
  </si>
  <si>
    <t>Papugufe</t>
  </si>
  <si>
    <t>H137H986</t>
  </si>
  <si>
    <t>Mutapi</t>
  </si>
  <si>
    <t>H826P368</t>
  </si>
  <si>
    <t>Rutepofo</t>
  </si>
  <si>
    <t>H377P596</t>
  </si>
  <si>
    <t>Vageregola</t>
  </si>
  <si>
    <t>P687P441</t>
  </si>
  <si>
    <t>Dugafupugi</t>
  </si>
  <si>
    <t>H936H139</t>
  </si>
  <si>
    <t>Rafepago</t>
  </si>
  <si>
    <t>H929H462</t>
  </si>
  <si>
    <t>Retorago</t>
  </si>
  <si>
    <t>H872P394</t>
  </si>
  <si>
    <t>Cagipa</t>
  </si>
  <si>
    <t>H692H416</t>
  </si>
  <si>
    <t>Tugotiti</t>
  </si>
  <si>
    <t>H434H967</t>
  </si>
  <si>
    <t>Nitupuca</t>
  </si>
  <si>
    <t>P325H367</t>
  </si>
  <si>
    <t>Perulu</t>
  </si>
  <si>
    <t>P483H531</t>
  </si>
  <si>
    <t>Girevo</t>
  </si>
  <si>
    <t>P298H622</t>
  </si>
  <si>
    <t>Cedigapere</t>
  </si>
  <si>
    <t>P765H214</t>
  </si>
  <si>
    <t>Vopitonu</t>
  </si>
  <si>
    <t>H211P148</t>
  </si>
  <si>
    <t>Gidupa</t>
  </si>
  <si>
    <t>H329P583</t>
  </si>
  <si>
    <t>Gefero</t>
  </si>
  <si>
    <t>H646P112</t>
  </si>
  <si>
    <t>Perifelire</t>
  </si>
  <si>
    <t>P676H665</t>
  </si>
  <si>
    <t>Ramota</t>
  </si>
  <si>
    <t>H957P123</t>
  </si>
  <si>
    <t>Pitalo</t>
  </si>
  <si>
    <t>P452H497</t>
  </si>
  <si>
    <t>Cafotufo</t>
  </si>
  <si>
    <t>P439P446</t>
  </si>
  <si>
    <t>Tipivimu</t>
  </si>
  <si>
    <t>P822P131</t>
  </si>
  <si>
    <t>Dilole</t>
  </si>
  <si>
    <t>H384P466</t>
  </si>
  <si>
    <t>Pepinarute</t>
  </si>
  <si>
    <t>P762P982</t>
  </si>
  <si>
    <t>Fapimi</t>
  </si>
  <si>
    <t>H484H778</t>
  </si>
  <si>
    <t>Peteca</t>
  </si>
  <si>
    <t>H994P371</t>
  </si>
  <si>
    <t>Nicupevo</t>
  </si>
  <si>
    <t>P521P536</t>
  </si>
  <si>
    <t>Cefarudo</t>
  </si>
  <si>
    <t>H631P276</t>
  </si>
  <si>
    <t>Gimuladu</t>
  </si>
  <si>
    <t>P325P238</t>
  </si>
  <si>
    <t>Dididufopo</t>
  </si>
  <si>
    <t>P665H764</t>
  </si>
  <si>
    <t>Tidogutupu</t>
  </si>
  <si>
    <t>H777H534</t>
  </si>
  <si>
    <t>Goredi</t>
  </si>
  <si>
    <t>H834H776</t>
  </si>
  <si>
    <t>Cocevi</t>
  </si>
  <si>
    <t>P187P311</t>
  </si>
  <si>
    <t>Viripapefi</t>
  </si>
  <si>
    <t>P419P448</t>
  </si>
  <si>
    <t>Negaraceru</t>
  </si>
  <si>
    <t>P573P542</t>
  </si>
  <si>
    <t>Lamimepu</t>
  </si>
  <si>
    <t>P238P124</t>
  </si>
  <si>
    <t>Pevola</t>
  </si>
  <si>
    <t>H679H378</t>
  </si>
  <si>
    <t>Piluci</t>
  </si>
  <si>
    <t>P496H156</t>
  </si>
  <si>
    <t>Minupepe</t>
  </si>
  <si>
    <t>P564H993</t>
  </si>
  <si>
    <t>Goranenire</t>
  </si>
  <si>
    <t>H437H273</t>
  </si>
  <si>
    <t>Renuvote</t>
  </si>
  <si>
    <t>H378H755</t>
  </si>
  <si>
    <t>Rudapu</t>
  </si>
  <si>
    <t>P929H387</t>
  </si>
  <si>
    <t>Dirina</t>
  </si>
  <si>
    <t>P711H778</t>
  </si>
  <si>
    <t>Purupetilu</t>
  </si>
  <si>
    <t>H678P823</t>
  </si>
  <si>
    <t>Pocifale</t>
  </si>
  <si>
    <t>P687P272</t>
  </si>
  <si>
    <t>Peredomo</t>
  </si>
  <si>
    <t>P727H518</t>
  </si>
  <si>
    <t>Radupifu</t>
  </si>
  <si>
    <t>H919P568</t>
  </si>
  <si>
    <t>Ratuto</t>
  </si>
  <si>
    <t>H569P133</t>
  </si>
  <si>
    <t>Patipopudo</t>
  </si>
  <si>
    <t>H139P978</t>
  </si>
  <si>
    <t>Papodafu</t>
  </si>
  <si>
    <t>P174P215</t>
  </si>
  <si>
    <t>Ratena</t>
  </si>
  <si>
    <t>H917H959</t>
  </si>
  <si>
    <t>Povitavomi</t>
  </si>
  <si>
    <t>H954P398</t>
  </si>
  <si>
    <t>Tirinegide</t>
  </si>
  <si>
    <t>H184H694</t>
  </si>
  <si>
    <t>Gecupeputo</t>
  </si>
  <si>
    <t>P581P245</t>
  </si>
  <si>
    <t>Pecefuceru</t>
  </si>
  <si>
    <t>P744P414</t>
  </si>
  <si>
    <t>Cunate</t>
  </si>
  <si>
    <t>P321P989</t>
  </si>
  <si>
    <t>Gumipi</t>
  </si>
  <si>
    <t>H291H544</t>
  </si>
  <si>
    <t>Nuponanepi</t>
  </si>
  <si>
    <t>P152P268</t>
  </si>
  <si>
    <t>Duvopo</t>
  </si>
  <si>
    <t>P441P471</t>
  </si>
  <si>
    <t>Dulagadanu</t>
  </si>
  <si>
    <t>H232H376</t>
  </si>
  <si>
    <t>Tilate</t>
  </si>
  <si>
    <t>H698P423</t>
  </si>
  <si>
    <t>Meferidapo</t>
  </si>
  <si>
    <t>P735H918</t>
  </si>
  <si>
    <t>Titopapupa</t>
  </si>
  <si>
    <t>P266P292</t>
  </si>
  <si>
    <t>Moreluve</t>
  </si>
  <si>
    <t>H131H977</t>
  </si>
  <si>
    <t>Rupotiru</t>
  </si>
  <si>
    <t>P511H979</t>
  </si>
  <si>
    <t>Geculirafe</t>
  </si>
  <si>
    <t>H311H936</t>
  </si>
  <si>
    <t>Daneroma</t>
  </si>
  <si>
    <t>P543H182</t>
  </si>
  <si>
    <t>Potutamece</t>
  </si>
  <si>
    <t>H578H392</t>
  </si>
  <si>
    <t>Pururipoto</t>
  </si>
  <si>
    <t>H645P484</t>
  </si>
  <si>
    <t>Purogulege</t>
  </si>
  <si>
    <t>P149H668</t>
  </si>
  <si>
    <t>Pecoru</t>
  </si>
  <si>
    <t>H728P493</t>
  </si>
  <si>
    <t>Nutoluteca</t>
  </si>
  <si>
    <t>H653H784</t>
  </si>
  <si>
    <t>Piduvifitu</t>
  </si>
  <si>
    <t>P789H652</t>
  </si>
  <si>
    <t>Nupada</t>
  </si>
  <si>
    <t>P298P548</t>
  </si>
  <si>
    <t>Cugara</t>
  </si>
  <si>
    <t>H958H483</t>
  </si>
  <si>
    <t>Letame</t>
  </si>
  <si>
    <t>P786H239</t>
  </si>
  <si>
    <t>Rutamafovi</t>
  </si>
  <si>
    <t>P555H614</t>
  </si>
  <si>
    <t>Mitotiga</t>
  </si>
  <si>
    <t>P461H697</t>
  </si>
  <si>
    <t>Fetivetepa</t>
  </si>
  <si>
    <t>P471P929</t>
  </si>
  <si>
    <t>Vipotele</t>
  </si>
  <si>
    <t>H722H911</t>
  </si>
  <si>
    <t>Rupadu</t>
  </si>
  <si>
    <t>P946H478</t>
  </si>
  <si>
    <t>Rinuninupo</t>
  </si>
  <si>
    <t>P849P773</t>
  </si>
  <si>
    <t>Ratodevo</t>
  </si>
  <si>
    <t>H619H865</t>
  </si>
  <si>
    <t>Ridameto</t>
  </si>
  <si>
    <t>H912H631</t>
  </si>
  <si>
    <t>Fipocofo</t>
  </si>
  <si>
    <t>P136H643</t>
  </si>
  <si>
    <t>Gocupeva</t>
  </si>
  <si>
    <t>H847H936</t>
  </si>
  <si>
    <t>Pudeta</t>
  </si>
  <si>
    <t>H783P497</t>
  </si>
  <si>
    <t>Rilidafe</t>
  </si>
  <si>
    <t>P486P879</t>
  </si>
  <si>
    <t>Totapamo</t>
  </si>
  <si>
    <t>H165H857</t>
  </si>
  <si>
    <t>Mupufedo</t>
  </si>
  <si>
    <t>H339H136</t>
  </si>
  <si>
    <t>Vigeneru</t>
  </si>
  <si>
    <t>P122P373</t>
  </si>
  <si>
    <t>Pifarimu</t>
  </si>
  <si>
    <t>P198P537</t>
  </si>
  <si>
    <t>Papiteda</t>
  </si>
  <si>
    <t>H133P637</t>
  </si>
  <si>
    <t>Minupidifi</t>
  </si>
  <si>
    <t>H847H416</t>
  </si>
  <si>
    <t>Purevu</t>
  </si>
  <si>
    <t>H354P711</t>
  </si>
  <si>
    <t>Matigutuvi</t>
  </si>
  <si>
    <t>H117P757</t>
  </si>
  <si>
    <t>Cerare</t>
  </si>
  <si>
    <t>H945P214</t>
  </si>
  <si>
    <t>Mitupa</t>
  </si>
  <si>
    <t>P812P374</t>
  </si>
  <si>
    <t>Finuno</t>
  </si>
  <si>
    <t>H166P831</t>
  </si>
  <si>
    <t>Vepipeculu</t>
  </si>
  <si>
    <t>P746P572</t>
  </si>
  <si>
    <t>Getulatigu</t>
  </si>
  <si>
    <t>P531P457</t>
  </si>
  <si>
    <t>Feponunoro</t>
  </si>
  <si>
    <t>H746P959</t>
  </si>
  <si>
    <t>Metapagara</t>
  </si>
  <si>
    <t>P633H927</t>
  </si>
  <si>
    <t>Potepi</t>
  </si>
  <si>
    <t>P312P598</t>
  </si>
  <si>
    <t>Daripote</t>
  </si>
  <si>
    <t>H838P976</t>
  </si>
  <si>
    <t>Cipume</t>
  </si>
  <si>
    <t>P657P282</t>
  </si>
  <si>
    <t>Muconedi</t>
  </si>
  <si>
    <t>H724P455</t>
  </si>
  <si>
    <t>Moparico</t>
  </si>
  <si>
    <t>P466P499</t>
  </si>
  <si>
    <t>Petudu</t>
  </si>
  <si>
    <t>H822H482</t>
  </si>
  <si>
    <t>Pacepidu</t>
  </si>
  <si>
    <t>P839H664</t>
  </si>
  <si>
    <t>Nalirinipo</t>
  </si>
  <si>
    <t>P864H843</t>
  </si>
  <si>
    <t>Marevapu</t>
  </si>
  <si>
    <t>H835P693</t>
  </si>
  <si>
    <t>Pinada</t>
  </si>
  <si>
    <t>P995H423</t>
  </si>
  <si>
    <t>Fopifite</t>
  </si>
  <si>
    <t>H412H686</t>
  </si>
  <si>
    <t>Temotonone</t>
  </si>
  <si>
    <t>H388H986</t>
  </si>
  <si>
    <t>Rerogolere</t>
  </si>
  <si>
    <t>P437P991</t>
  </si>
  <si>
    <t>Favidufere</t>
  </si>
  <si>
    <t>Gipemive</t>
  </si>
  <si>
    <t>H137P867</t>
  </si>
  <si>
    <t>Lolamavi</t>
  </si>
  <si>
    <t>H681P566</t>
  </si>
  <si>
    <t>Garuroro</t>
  </si>
  <si>
    <t>H272P258</t>
  </si>
  <si>
    <t>Peporopa</t>
  </si>
  <si>
    <t>P544P296</t>
  </si>
  <si>
    <t>Tovotura</t>
  </si>
  <si>
    <t>P433P786</t>
  </si>
  <si>
    <t>Dofigo</t>
  </si>
  <si>
    <t>H859P396</t>
  </si>
  <si>
    <t>Lidicetuni</t>
  </si>
  <si>
    <t>H558P144</t>
  </si>
  <si>
    <t>Pavopavu</t>
  </si>
  <si>
    <t>P374H788</t>
  </si>
  <si>
    <t>Movifapera</t>
  </si>
  <si>
    <t>H699P337</t>
  </si>
  <si>
    <t>Lomica</t>
  </si>
  <si>
    <t>H136P848</t>
  </si>
  <si>
    <t>Ruravali</t>
  </si>
  <si>
    <t>H773P155</t>
  </si>
  <si>
    <t>Pecenulo</t>
  </si>
  <si>
    <t>P826P957</t>
  </si>
  <si>
    <t>Rucipitutu</t>
  </si>
  <si>
    <t>H354P369</t>
  </si>
  <si>
    <t>Pegopamo</t>
  </si>
  <si>
    <t>P631P363</t>
  </si>
  <si>
    <t>Gamutapodi</t>
  </si>
  <si>
    <t>P619P399</t>
  </si>
  <si>
    <t>Patave</t>
  </si>
  <si>
    <t>P336H433</t>
  </si>
  <si>
    <t>Vecapiti</t>
  </si>
  <si>
    <t>H264H866</t>
  </si>
  <si>
    <t>Lotepetoce</t>
  </si>
  <si>
    <t>H792P743</t>
  </si>
  <si>
    <t>Tutitulile</t>
  </si>
  <si>
    <t>H346P161</t>
  </si>
  <si>
    <t>Mugami</t>
  </si>
  <si>
    <t>P495P433</t>
  </si>
  <si>
    <t>Dafalu</t>
  </si>
  <si>
    <t>P353P567</t>
  </si>
  <si>
    <t>Duroro</t>
  </si>
  <si>
    <t>H446H624</t>
  </si>
  <si>
    <t>Podudanuta</t>
  </si>
  <si>
    <t>P492H962</t>
  </si>
  <si>
    <t>Tagoro</t>
  </si>
  <si>
    <t>P886H865</t>
  </si>
  <si>
    <t>Purutiledu</t>
  </si>
  <si>
    <t>H864H626</t>
  </si>
  <si>
    <t>Lamiva</t>
  </si>
  <si>
    <t>P526P779</t>
  </si>
  <si>
    <t>Girumitopo</t>
  </si>
  <si>
    <t>P214P496</t>
  </si>
  <si>
    <t>Tafoperu</t>
  </si>
  <si>
    <t>P721H698</t>
  </si>
  <si>
    <t>Pagarocu</t>
  </si>
  <si>
    <t>P227H348</t>
  </si>
  <si>
    <t>Dupotivopi</t>
  </si>
  <si>
    <t>P516P953</t>
  </si>
  <si>
    <t>Gamolave</t>
  </si>
  <si>
    <t>P334P239</t>
  </si>
  <si>
    <t>Tagevi</t>
  </si>
  <si>
    <t>P557H266</t>
  </si>
  <si>
    <t>Cidotoco</t>
  </si>
  <si>
    <t>H239P828</t>
  </si>
  <si>
    <t>Rivupovimu</t>
  </si>
  <si>
    <t>P347H631</t>
  </si>
  <si>
    <t>Papegu</t>
  </si>
  <si>
    <t>H331H641</t>
  </si>
  <si>
    <t>Popapogule</t>
  </si>
  <si>
    <t>H411H255</t>
  </si>
  <si>
    <t>Rodononico</t>
  </si>
  <si>
    <t>P278H964</t>
  </si>
  <si>
    <t>Femerere</t>
  </si>
  <si>
    <t>H639P217</t>
  </si>
  <si>
    <t>Recura</t>
  </si>
  <si>
    <t>H414H343</t>
  </si>
  <si>
    <t>Nipopefa</t>
  </si>
  <si>
    <t>H643H716</t>
  </si>
  <si>
    <t>Dufemidego</t>
  </si>
  <si>
    <t>P213H321</t>
  </si>
  <si>
    <t>Voroce</t>
  </si>
  <si>
    <t>P198P264</t>
  </si>
  <si>
    <t>Nerocu</t>
  </si>
  <si>
    <t>P514P938</t>
  </si>
  <si>
    <t>Poruritimi</t>
  </si>
  <si>
    <t>P563P261</t>
  </si>
  <si>
    <t>Fidipemene</t>
  </si>
  <si>
    <t>H668P632</t>
  </si>
  <si>
    <t>Nipota</t>
  </si>
  <si>
    <t>H363H196</t>
  </si>
  <si>
    <t>Poralurale</t>
  </si>
  <si>
    <t>H139P939</t>
  </si>
  <si>
    <t>Tecivi</t>
  </si>
  <si>
    <t>H439P539</t>
  </si>
  <si>
    <t>Derodace</t>
  </si>
  <si>
    <t>P865H454</t>
  </si>
  <si>
    <t>Nutiropo</t>
  </si>
  <si>
    <t>P178P124</t>
  </si>
  <si>
    <t>Fadutepe</t>
  </si>
  <si>
    <t>P613H581</t>
  </si>
  <si>
    <t>Fapivopata</t>
  </si>
  <si>
    <t>H862P652</t>
  </si>
  <si>
    <t>Cirerono</t>
  </si>
  <si>
    <t>H169H378</t>
  </si>
  <si>
    <t>Ratirivo</t>
  </si>
  <si>
    <t>P434P624</t>
  </si>
  <si>
    <t>Putunu</t>
  </si>
  <si>
    <t>P643P538</t>
  </si>
  <si>
    <t>Pofene</t>
  </si>
  <si>
    <t>H381H542</t>
  </si>
  <si>
    <t>Tinefimomi</t>
  </si>
  <si>
    <t>H849H162</t>
  </si>
  <si>
    <t>Pimipe</t>
  </si>
  <si>
    <t>H383H413</t>
  </si>
  <si>
    <t>Mirapomati</t>
  </si>
  <si>
    <t>H261P128</t>
  </si>
  <si>
    <t>Vilaca</t>
  </si>
  <si>
    <t>H435H168</t>
  </si>
  <si>
    <t>Tivipomo</t>
  </si>
  <si>
    <t>H367H118</t>
  </si>
  <si>
    <t>Poceri</t>
  </si>
  <si>
    <t>P144H988</t>
  </si>
  <si>
    <t>Mopenofu</t>
  </si>
  <si>
    <t>P899P834</t>
  </si>
  <si>
    <t>Ficemupiri</t>
  </si>
  <si>
    <t>P753P983</t>
  </si>
  <si>
    <t>Mudufomi</t>
  </si>
  <si>
    <t>P182P784</t>
  </si>
  <si>
    <t>Ramilifu</t>
  </si>
  <si>
    <t>P277P789</t>
  </si>
  <si>
    <t>Pifiri</t>
  </si>
  <si>
    <t>H912H359</t>
  </si>
  <si>
    <t>Tipune</t>
  </si>
  <si>
    <t>P451P551</t>
  </si>
  <si>
    <t>Nocapa</t>
  </si>
  <si>
    <t>P984H886</t>
  </si>
  <si>
    <t>Pacugi</t>
  </si>
  <si>
    <t>P785P741</t>
  </si>
  <si>
    <t>Ruruperave</t>
  </si>
  <si>
    <t>H159H591</t>
  </si>
  <si>
    <t>Punaroguti</t>
  </si>
  <si>
    <t>H456H418</t>
  </si>
  <si>
    <t>Rodotilu</t>
  </si>
  <si>
    <t>P755P245</t>
  </si>
  <si>
    <t>Rimenu</t>
  </si>
  <si>
    <t>H638P179</t>
  </si>
  <si>
    <t>Mamomulo</t>
  </si>
  <si>
    <t>P964P351</t>
  </si>
  <si>
    <t>Fepuci</t>
  </si>
  <si>
    <t>H456H797</t>
  </si>
  <si>
    <t>Ceceve</t>
  </si>
  <si>
    <t>P934H358</t>
  </si>
  <si>
    <t>Lotacunoti</t>
  </si>
  <si>
    <t>P646H853</t>
  </si>
  <si>
    <t>Vipuduta</t>
  </si>
  <si>
    <t>P154H682</t>
  </si>
  <si>
    <t>Mucagene</t>
  </si>
  <si>
    <t>H466H792</t>
  </si>
  <si>
    <t>Ripovo</t>
  </si>
  <si>
    <t>P927P731</t>
  </si>
  <si>
    <t>Caticu</t>
  </si>
  <si>
    <t>H947H126</t>
  </si>
  <si>
    <t>Rogemogere</t>
  </si>
  <si>
    <t>H929P936</t>
  </si>
  <si>
    <t>Numupunoda</t>
  </si>
  <si>
    <t>P567H617</t>
  </si>
  <si>
    <t>Recovarafa</t>
  </si>
  <si>
    <t>P726P395</t>
  </si>
  <si>
    <t>Lutinemu</t>
  </si>
  <si>
    <t>H661P293</t>
  </si>
  <si>
    <t>Culelifofi</t>
  </si>
  <si>
    <t>P234P125</t>
  </si>
  <si>
    <t>Donifefo</t>
  </si>
  <si>
    <t>P557H447</t>
  </si>
  <si>
    <t>Pugepa</t>
  </si>
  <si>
    <t>P652P514</t>
  </si>
  <si>
    <t>Cunitetevi</t>
  </si>
  <si>
    <t>P753P644</t>
  </si>
  <si>
    <t>Popifodepa</t>
  </si>
  <si>
    <t>P699P785</t>
  </si>
  <si>
    <t>Tunarare</t>
  </si>
  <si>
    <t>P344H654</t>
  </si>
  <si>
    <t>Potupe</t>
  </si>
  <si>
    <t>H843P997</t>
  </si>
  <si>
    <t>Fifete</t>
  </si>
  <si>
    <t>P824P879</t>
  </si>
  <si>
    <t>Carema</t>
  </si>
  <si>
    <t>H566P581</t>
  </si>
  <si>
    <t>Cemavapa</t>
  </si>
  <si>
    <t>P719H464</t>
  </si>
  <si>
    <t>Moculo</t>
  </si>
  <si>
    <t>H443H437</t>
  </si>
  <si>
    <t>Nagemagimu</t>
  </si>
  <si>
    <t>H292H779</t>
  </si>
  <si>
    <t>Ropiginu</t>
  </si>
  <si>
    <t>P754H859</t>
  </si>
  <si>
    <t>Mifufa</t>
  </si>
  <si>
    <t>H525H487</t>
  </si>
  <si>
    <t>Totuleriri</t>
  </si>
  <si>
    <t>P361P931</t>
  </si>
  <si>
    <t>Duropuvire</t>
  </si>
  <si>
    <t>H268P868</t>
  </si>
  <si>
    <t>Lagudi</t>
  </si>
  <si>
    <t>H464H122</t>
  </si>
  <si>
    <t>Nonuno</t>
  </si>
  <si>
    <t>H154H499</t>
  </si>
  <si>
    <t>Tetitafo</t>
  </si>
  <si>
    <t>P448P743</t>
  </si>
  <si>
    <t>Rapagi</t>
  </si>
  <si>
    <t>P663H882</t>
  </si>
  <si>
    <t>Pitufotoga</t>
  </si>
  <si>
    <t>P194P584</t>
  </si>
  <si>
    <t>Rolape</t>
  </si>
  <si>
    <t>H621H241</t>
  </si>
  <si>
    <t>Nacota</t>
  </si>
  <si>
    <t>P254H868</t>
  </si>
  <si>
    <t>Parepe</t>
  </si>
  <si>
    <t>H839P591</t>
  </si>
  <si>
    <t>Rulacu</t>
  </si>
  <si>
    <t>P575H379</t>
  </si>
  <si>
    <t>Tipipavepu</t>
  </si>
  <si>
    <t>H689P673</t>
  </si>
  <si>
    <t>Tegodudi</t>
  </si>
  <si>
    <t>H371H216</t>
  </si>
  <si>
    <t>Fovede</t>
  </si>
  <si>
    <t>P524H789</t>
  </si>
  <si>
    <t>Cefipe</t>
  </si>
  <si>
    <t>H125H499</t>
  </si>
  <si>
    <t>Valoretegu</t>
  </si>
  <si>
    <t>H788P869</t>
  </si>
  <si>
    <t>Nurica</t>
  </si>
  <si>
    <t>P327P917</t>
  </si>
  <si>
    <t>Fapucitadi</t>
  </si>
  <si>
    <t>P178P467</t>
  </si>
  <si>
    <t>Caperede</t>
  </si>
  <si>
    <t>H844P822</t>
  </si>
  <si>
    <t>Faroda</t>
  </si>
  <si>
    <t>P929H489</t>
  </si>
  <si>
    <t>Poropati</t>
  </si>
  <si>
    <t>H624P983</t>
  </si>
  <si>
    <t>Migitovole</t>
  </si>
  <si>
    <t>P356P611</t>
  </si>
  <si>
    <t>Gavule</t>
  </si>
  <si>
    <t>P393P998</t>
  </si>
  <si>
    <t>Rarocipu</t>
  </si>
  <si>
    <t>P675P779</t>
  </si>
  <si>
    <t>Pofuterulo</t>
  </si>
  <si>
    <t>H182H819</t>
  </si>
  <si>
    <t>Cegimi</t>
  </si>
  <si>
    <t>H973P595</t>
  </si>
  <si>
    <t>Rutiruru</t>
  </si>
  <si>
    <t>P116P968</t>
  </si>
  <si>
    <t>Tigepomupe</t>
  </si>
  <si>
    <t>H546P146</t>
  </si>
  <si>
    <t>Pepopire</t>
  </si>
  <si>
    <t>P364H388</t>
  </si>
  <si>
    <t>Pulopu</t>
  </si>
  <si>
    <t>P636P378</t>
  </si>
  <si>
    <t>Vodapomipo</t>
  </si>
  <si>
    <t>P245H224</t>
  </si>
  <si>
    <t>Gelevepori</t>
  </si>
  <si>
    <t>P337H954</t>
  </si>
  <si>
    <t>Femiceme</t>
  </si>
  <si>
    <t>H686H486</t>
  </si>
  <si>
    <t>Rucomepiru</t>
  </si>
  <si>
    <t>P989P638</t>
  </si>
  <si>
    <t>Pelecotopu</t>
  </si>
  <si>
    <t>P381P959</t>
  </si>
  <si>
    <t>Gufopu</t>
  </si>
  <si>
    <t>P296H645</t>
  </si>
  <si>
    <t>Pepugocepi</t>
  </si>
  <si>
    <t>H663H166</t>
  </si>
  <si>
    <t>Rafugepa</t>
  </si>
  <si>
    <t>P352P686</t>
  </si>
  <si>
    <t>Rivudelomu</t>
  </si>
  <si>
    <t>P539H841</t>
  </si>
  <si>
    <t>Rucopupa</t>
  </si>
  <si>
    <t>P296P983</t>
  </si>
  <si>
    <t>Cilupepudo</t>
  </si>
  <si>
    <t>H678H429</t>
  </si>
  <si>
    <t>Denefivepi</t>
  </si>
  <si>
    <t>H881H181</t>
  </si>
  <si>
    <t>Matepuco</t>
  </si>
  <si>
    <t>H239H915</t>
  </si>
  <si>
    <t>Gecerolicu</t>
  </si>
  <si>
    <t>P191H763</t>
  </si>
  <si>
    <t>Pufufegu</t>
  </si>
  <si>
    <t>H851P576</t>
  </si>
  <si>
    <t>Ladecofo</t>
  </si>
  <si>
    <t>P954P955</t>
  </si>
  <si>
    <t>Riputo</t>
  </si>
  <si>
    <t>H643P489</t>
  </si>
  <si>
    <t>Gofucofopa</t>
  </si>
  <si>
    <t>H389P295</t>
  </si>
  <si>
    <t>Tedaro</t>
  </si>
  <si>
    <t>H582H999</t>
  </si>
  <si>
    <t>Lopifi</t>
  </si>
  <si>
    <t>P895P838</t>
  </si>
  <si>
    <t>Deforidula</t>
  </si>
  <si>
    <t>P264H647</t>
  </si>
  <si>
    <t>Nocopupemu</t>
  </si>
  <si>
    <t>H314P939</t>
  </si>
  <si>
    <t>Relacatame</t>
  </si>
  <si>
    <t>H984P282</t>
  </si>
  <si>
    <t>Tepanepe</t>
  </si>
  <si>
    <t>H748P635</t>
  </si>
  <si>
    <t>Fotipitinu</t>
  </si>
  <si>
    <t>H854P477</t>
  </si>
  <si>
    <t>Rurevi</t>
  </si>
  <si>
    <t>P342P753</t>
  </si>
  <si>
    <t>Ripeporepu</t>
  </si>
  <si>
    <t>P498H685</t>
  </si>
  <si>
    <t>Piratolaru</t>
  </si>
  <si>
    <t>P514P164</t>
  </si>
  <si>
    <t>Legupanova</t>
  </si>
  <si>
    <t>H776H733</t>
  </si>
  <si>
    <t>Motonati</t>
  </si>
  <si>
    <t>P979H356</t>
  </si>
  <si>
    <t>Mavutofe</t>
  </si>
  <si>
    <t>P467H525</t>
  </si>
  <si>
    <t>Papunona</t>
  </si>
  <si>
    <t>P517H647</t>
  </si>
  <si>
    <t>Parotere</t>
  </si>
  <si>
    <t>P112H345</t>
  </si>
  <si>
    <t>Ladoganeto</t>
  </si>
  <si>
    <t>P288H651</t>
  </si>
  <si>
    <t>Nimerilivu</t>
  </si>
  <si>
    <t>P399P836</t>
  </si>
  <si>
    <t>Femunini</t>
  </si>
  <si>
    <t>H866P482</t>
  </si>
  <si>
    <t>Citufopo</t>
  </si>
  <si>
    <t>P721H459</t>
  </si>
  <si>
    <t>Dufefurapu</t>
  </si>
  <si>
    <t>H233P441</t>
  </si>
  <si>
    <t>Gigani</t>
  </si>
  <si>
    <t>H645P288</t>
  </si>
  <si>
    <t>Pomirugera</t>
  </si>
  <si>
    <t>H436P562</t>
  </si>
  <si>
    <t>Rapofigaru</t>
  </si>
  <si>
    <t>P768P564</t>
  </si>
  <si>
    <t>Liredatu</t>
  </si>
  <si>
    <t>P721H717</t>
  </si>
  <si>
    <t>Pilipa</t>
  </si>
  <si>
    <t>H381H737</t>
  </si>
  <si>
    <t>Tinovera</t>
  </si>
  <si>
    <t>H315P661</t>
  </si>
  <si>
    <t>Pipuli</t>
  </si>
  <si>
    <t>H621H217</t>
  </si>
  <si>
    <t>Pidoni</t>
  </si>
  <si>
    <t>H823H685</t>
  </si>
  <si>
    <t>Curadopu</t>
  </si>
  <si>
    <t>P691H136</t>
  </si>
  <si>
    <t>Dederulu</t>
  </si>
  <si>
    <t>H278P947</t>
  </si>
  <si>
    <t>Vifitora</t>
  </si>
  <si>
    <t>H452H859</t>
  </si>
  <si>
    <t>Lufemuci</t>
  </si>
  <si>
    <t>H435H196</t>
  </si>
  <si>
    <t>Rutipitati</t>
  </si>
  <si>
    <t>H751H866</t>
  </si>
  <si>
    <t>Papinotuvu</t>
  </si>
  <si>
    <t>H367P647</t>
  </si>
  <si>
    <t>Pifadicufu</t>
  </si>
  <si>
    <t>P635H755</t>
  </si>
  <si>
    <t>Roperuti</t>
  </si>
  <si>
    <t>P368H888</t>
  </si>
  <si>
    <t>Tolerepogu</t>
  </si>
  <si>
    <t>H254H418</t>
  </si>
  <si>
    <t>Futetame</t>
  </si>
  <si>
    <t>H616P889</t>
  </si>
  <si>
    <t>Mucovo</t>
  </si>
  <si>
    <t>P289P536</t>
  </si>
  <si>
    <t>Rupanuliri</t>
  </si>
  <si>
    <t>P441P139</t>
  </si>
  <si>
    <t>Tedovelado</t>
  </si>
  <si>
    <t>P644H759</t>
  </si>
  <si>
    <t>Fetigu</t>
  </si>
  <si>
    <t>H876H212</t>
  </si>
  <si>
    <t>Metamipo</t>
  </si>
  <si>
    <t>P922H577</t>
  </si>
  <si>
    <t>Rilatepi</t>
  </si>
  <si>
    <t>H531P357</t>
  </si>
  <si>
    <t>Fidopelela</t>
  </si>
  <si>
    <t>H427H226</t>
  </si>
  <si>
    <t>Gedupovu</t>
  </si>
  <si>
    <t>P728P865</t>
  </si>
  <si>
    <t>Porucidafi</t>
  </si>
  <si>
    <t>H264H964</t>
  </si>
  <si>
    <t>Gemunigupi</t>
  </si>
  <si>
    <t>P321H585</t>
  </si>
  <si>
    <t>Pavupitimo</t>
  </si>
  <si>
    <t>H642H159</t>
  </si>
  <si>
    <t>Nudero</t>
  </si>
  <si>
    <t>P729H799</t>
  </si>
  <si>
    <t>Pofatagoma</t>
  </si>
  <si>
    <t>P311H262</t>
  </si>
  <si>
    <t>Famufe</t>
  </si>
  <si>
    <t>P571P527</t>
  </si>
  <si>
    <t>Rogadufe</t>
  </si>
  <si>
    <t>P159H646</t>
  </si>
  <si>
    <t>Femidu</t>
  </si>
  <si>
    <t>P685P296</t>
  </si>
  <si>
    <t>Vocoreceti</t>
  </si>
  <si>
    <t>P961P459</t>
  </si>
  <si>
    <t>Vetenore</t>
  </si>
  <si>
    <t>P975H296</t>
  </si>
  <si>
    <t>Comori</t>
  </si>
  <si>
    <t>H679P688</t>
  </si>
  <si>
    <t>Mafegamopo</t>
  </si>
  <si>
    <t>P261P142</t>
  </si>
  <si>
    <t>Panoto</t>
  </si>
  <si>
    <t>P774H521</t>
  </si>
  <si>
    <t>Pufape</t>
  </si>
  <si>
    <t>P448H637</t>
  </si>
  <si>
    <t>Dagara</t>
  </si>
  <si>
    <t>H821H871</t>
  </si>
  <si>
    <t>Neperurefu</t>
  </si>
  <si>
    <t>P378H569</t>
  </si>
  <si>
    <t>Pipila</t>
  </si>
  <si>
    <t>H968P861</t>
  </si>
  <si>
    <t>Gatanitu</t>
  </si>
  <si>
    <t>H891H834</t>
  </si>
  <si>
    <t>Lirepa</t>
  </si>
  <si>
    <t>H477P638</t>
  </si>
  <si>
    <t>Turena</t>
  </si>
  <si>
    <t>H653H429</t>
  </si>
  <si>
    <t>Givido</t>
  </si>
  <si>
    <t>P723H231</t>
  </si>
  <si>
    <t>Rogupi</t>
  </si>
  <si>
    <t>H255H614</t>
  </si>
  <si>
    <t>Pecepome</t>
  </si>
  <si>
    <t>H128P428</t>
  </si>
  <si>
    <t>Tolatifope</t>
  </si>
  <si>
    <t>H412P837</t>
  </si>
  <si>
    <t>Vogeta</t>
  </si>
  <si>
    <t>P161H629</t>
  </si>
  <si>
    <t>Gapunapove</t>
  </si>
  <si>
    <t>P172H584</t>
  </si>
  <si>
    <t>Ratepepo</t>
  </si>
  <si>
    <t>P814P135</t>
  </si>
  <si>
    <t>Tuleci</t>
  </si>
  <si>
    <t>H361P761</t>
  </si>
  <si>
    <t>Litamalo</t>
  </si>
  <si>
    <t>H717P222</t>
  </si>
  <si>
    <t>Tidapu</t>
  </si>
  <si>
    <t>P679H372</t>
  </si>
  <si>
    <t>Mulava</t>
  </si>
  <si>
    <t>P511P715</t>
  </si>
  <si>
    <t>Purelegete</t>
  </si>
  <si>
    <t>P842P434</t>
  </si>
  <si>
    <t>Mopacufe</t>
  </si>
  <si>
    <t>H229P731</t>
  </si>
  <si>
    <t>Tofife</t>
  </si>
  <si>
    <t>H835H175</t>
  </si>
  <si>
    <t>Mufupamepu</t>
  </si>
  <si>
    <t>H943P584</t>
  </si>
  <si>
    <t>Corodori</t>
  </si>
  <si>
    <t>H894P985</t>
  </si>
  <si>
    <t>Ralanu</t>
  </si>
  <si>
    <t>P788P179</t>
  </si>
  <si>
    <t>Varomite</t>
  </si>
  <si>
    <t>H166H815</t>
  </si>
  <si>
    <t>Tiratove</t>
  </si>
  <si>
    <t>P374P216</t>
  </si>
  <si>
    <t>Roputo</t>
  </si>
  <si>
    <t>H393H392</t>
  </si>
  <si>
    <t>Cefolado</t>
  </si>
  <si>
    <t>P996P358</t>
  </si>
  <si>
    <t>Tatupide</t>
  </si>
  <si>
    <t>H272H339</t>
  </si>
  <si>
    <t>Fipicuvu</t>
  </si>
  <si>
    <t>H166H859</t>
  </si>
  <si>
    <t>Generu</t>
  </si>
  <si>
    <t>P997P968</t>
  </si>
  <si>
    <t>Palidireta</t>
  </si>
  <si>
    <t>P671P222</t>
  </si>
  <si>
    <t>Gecefo</t>
  </si>
  <si>
    <t>H486H939</t>
  </si>
  <si>
    <t>Tunetire</t>
  </si>
  <si>
    <t>H745P114</t>
  </si>
  <si>
    <t>Purigevuco</t>
  </si>
  <si>
    <t>P112H962</t>
  </si>
  <si>
    <t>Rocivatume</t>
  </si>
  <si>
    <t>P871P946</t>
  </si>
  <si>
    <t>Vipafa</t>
  </si>
  <si>
    <t>H643H146</t>
  </si>
  <si>
    <t>Mipopi</t>
  </si>
  <si>
    <t>H277P216</t>
  </si>
  <si>
    <t>Necofi</t>
  </si>
  <si>
    <t>P881H541</t>
  </si>
  <si>
    <t>Paregaga</t>
  </si>
  <si>
    <t>H712H691</t>
  </si>
  <si>
    <t>Motucage</t>
  </si>
  <si>
    <t>P954P572</t>
  </si>
  <si>
    <t>Rulute</t>
  </si>
  <si>
    <t>P115H295</t>
  </si>
  <si>
    <t>Tuliruce</t>
  </si>
  <si>
    <t>H969H315</t>
  </si>
  <si>
    <t>Pitecame</t>
  </si>
  <si>
    <t>P619H359</t>
  </si>
  <si>
    <t>Nalole</t>
  </si>
  <si>
    <t>H683P383</t>
  </si>
  <si>
    <t>Petimepogi</t>
  </si>
  <si>
    <t>P245H534</t>
  </si>
  <si>
    <t>Dotacofa</t>
  </si>
  <si>
    <t>H151P793</t>
  </si>
  <si>
    <t>Lafape</t>
  </si>
  <si>
    <t>H683H778</t>
  </si>
  <si>
    <t>Nafigu</t>
  </si>
  <si>
    <t>H372H711</t>
  </si>
  <si>
    <t>Pacamuce</t>
  </si>
  <si>
    <t>P147H481</t>
  </si>
  <si>
    <t>Rilotu</t>
  </si>
  <si>
    <t>H933P398</t>
  </si>
  <si>
    <t>Depepe</t>
  </si>
  <si>
    <t>H323H153</t>
  </si>
  <si>
    <t>Dopacupu</t>
  </si>
  <si>
    <t>P487P455</t>
  </si>
  <si>
    <t>Loveredila</t>
  </si>
  <si>
    <t>H367P297</t>
  </si>
  <si>
    <t>Nopumodago</t>
  </si>
  <si>
    <t>H647P375</t>
  </si>
  <si>
    <t>Pufupagu</t>
  </si>
  <si>
    <t>P191H736</t>
  </si>
  <si>
    <t>Metavafigu</t>
  </si>
  <si>
    <t>P986P343</t>
  </si>
  <si>
    <t>Gicata</t>
  </si>
  <si>
    <t>H826H549</t>
  </si>
  <si>
    <t>Nupopeca</t>
  </si>
  <si>
    <t>P686H757</t>
  </si>
  <si>
    <t>Gapapi</t>
  </si>
  <si>
    <t>H276H225</t>
  </si>
  <si>
    <t>Gideporedi</t>
  </si>
  <si>
    <t>H657P843</t>
  </si>
  <si>
    <t>Dimuvime</t>
  </si>
  <si>
    <t>H596P577</t>
  </si>
  <si>
    <t>Maveco</t>
  </si>
  <si>
    <t>P675H175</t>
  </si>
  <si>
    <t>Foricu</t>
  </si>
  <si>
    <t>P522H927</t>
  </si>
  <si>
    <t>Vapopuvata</t>
  </si>
  <si>
    <t>H842P289</t>
  </si>
  <si>
    <t>Reropovota</t>
  </si>
  <si>
    <t>P499H897</t>
  </si>
  <si>
    <t>Pupadeto</t>
  </si>
  <si>
    <t>P451P636</t>
  </si>
  <si>
    <t>Cefamo</t>
  </si>
  <si>
    <t>P294P578</t>
  </si>
  <si>
    <t>Pogatire</t>
  </si>
  <si>
    <t>H888H688</t>
  </si>
  <si>
    <t>Tucutapofi</t>
  </si>
  <si>
    <t>P848P999</t>
  </si>
  <si>
    <t>Racipo</t>
  </si>
  <si>
    <t>P351P519</t>
  </si>
  <si>
    <t>Fopupugafe</t>
  </si>
  <si>
    <t>P869H236</t>
  </si>
  <si>
    <t>Mulamigadi</t>
  </si>
  <si>
    <t>P375P778</t>
  </si>
  <si>
    <t>Pofome</t>
  </si>
  <si>
    <t>H483P515</t>
  </si>
  <si>
    <t>Rurapirefu</t>
  </si>
  <si>
    <t>P635P142</t>
  </si>
  <si>
    <t>Raveti</t>
  </si>
  <si>
    <t>H521H414</t>
  </si>
  <si>
    <t>Vopuginotu</t>
  </si>
  <si>
    <t>P794P667</t>
  </si>
  <si>
    <t>Malora</t>
  </si>
  <si>
    <t>P265H389</t>
  </si>
  <si>
    <t>Givicu</t>
  </si>
  <si>
    <t>H461H642</t>
  </si>
  <si>
    <t>Gapocidedi</t>
  </si>
  <si>
    <t>H125P715</t>
  </si>
  <si>
    <t>Turanaciti</t>
  </si>
  <si>
    <t>H745P341</t>
  </si>
  <si>
    <t>Repupedoce</t>
  </si>
  <si>
    <t>H136P618</t>
  </si>
  <si>
    <t>Garefipofa</t>
  </si>
  <si>
    <t>H331H451</t>
  </si>
  <si>
    <t>Dipapipige</t>
  </si>
  <si>
    <t>P546H495</t>
  </si>
  <si>
    <t>Todolirava</t>
  </si>
  <si>
    <t>P597P595</t>
  </si>
  <si>
    <t>Domurupeno</t>
  </si>
  <si>
    <t>P252H874</t>
  </si>
  <si>
    <t>Topodi</t>
  </si>
  <si>
    <t>H698H446</t>
  </si>
  <si>
    <t>Gitoliveri</t>
  </si>
  <si>
    <t>H494H688</t>
  </si>
  <si>
    <t>Refatoru</t>
  </si>
  <si>
    <t>H728P923</t>
  </si>
  <si>
    <t>Popamevoro</t>
  </si>
  <si>
    <t>H481H562</t>
  </si>
  <si>
    <t>Loranativi</t>
  </si>
  <si>
    <t>H652H361</t>
  </si>
  <si>
    <t>Tamavuvu</t>
  </si>
  <si>
    <t>P169H986</t>
  </si>
  <si>
    <t>Fevupenire</t>
  </si>
  <si>
    <t>P252P825</t>
  </si>
  <si>
    <t>Fumefo</t>
  </si>
  <si>
    <t>P335P782</t>
  </si>
  <si>
    <t>Cuneru</t>
  </si>
  <si>
    <t>H856P352</t>
  </si>
  <si>
    <t>Tulapori</t>
  </si>
  <si>
    <t>P512P698</t>
  </si>
  <si>
    <t>Rerate</t>
  </si>
  <si>
    <t>P393H175</t>
  </si>
  <si>
    <t>Lopereva</t>
  </si>
  <si>
    <t>P966P564</t>
  </si>
  <si>
    <t>Taputeta</t>
  </si>
  <si>
    <t>H184H544</t>
  </si>
  <si>
    <t>Pomeretuge</t>
  </si>
  <si>
    <t>H941H694</t>
  </si>
  <si>
    <t>Rutipi</t>
  </si>
  <si>
    <t>H628H996</t>
  </si>
  <si>
    <t>Piruraciro</t>
  </si>
  <si>
    <t>P866P597</t>
  </si>
  <si>
    <t>Nolocepeno</t>
  </si>
  <si>
    <t>H982P798</t>
  </si>
  <si>
    <t>Larepe</t>
  </si>
  <si>
    <t>H233P314</t>
  </si>
  <si>
    <t>Peropifane</t>
  </si>
  <si>
    <t>H786P844</t>
  </si>
  <si>
    <t>Delulo</t>
  </si>
  <si>
    <t>H443H384</t>
  </si>
  <si>
    <t>Refadu</t>
  </si>
  <si>
    <t>H331P566</t>
  </si>
  <si>
    <t>Pometo</t>
  </si>
  <si>
    <t>H329P744</t>
  </si>
  <si>
    <t>Tutodigeca</t>
  </si>
  <si>
    <t>P942H837</t>
  </si>
  <si>
    <t>Pimacecavu</t>
  </si>
  <si>
    <t>P916H475</t>
  </si>
  <si>
    <t>Lipoco</t>
  </si>
  <si>
    <t>P167P678</t>
  </si>
  <si>
    <t>Deregugu</t>
  </si>
  <si>
    <t>P971H945</t>
  </si>
  <si>
    <t>Tepafodugo</t>
  </si>
  <si>
    <t>H738H283</t>
  </si>
  <si>
    <t>Pafigagu</t>
  </si>
  <si>
    <t>H789P185</t>
  </si>
  <si>
    <t>Fivoni</t>
  </si>
  <si>
    <t>P297P848</t>
  </si>
  <si>
    <t>Pogamepepu</t>
  </si>
  <si>
    <t>H274P191</t>
  </si>
  <si>
    <t>Rorute</t>
  </si>
  <si>
    <t>H876P881</t>
  </si>
  <si>
    <t>Gipecopa</t>
  </si>
  <si>
    <t>P557H578</t>
  </si>
  <si>
    <t>Namirolacu</t>
  </si>
  <si>
    <t>P445P823</t>
  </si>
  <si>
    <t>Tatetociru</t>
  </si>
  <si>
    <t>P932H347</t>
  </si>
  <si>
    <t>Pitetu</t>
  </si>
  <si>
    <t>P321H318</t>
  </si>
  <si>
    <t>Tuloparumu</t>
  </si>
  <si>
    <t>P478P963</t>
  </si>
  <si>
    <t>Larofama</t>
  </si>
  <si>
    <t>H996P989</t>
  </si>
  <si>
    <t>Tupanomipo</t>
  </si>
  <si>
    <t>H455H471</t>
  </si>
  <si>
    <t>Vupolevecu</t>
  </si>
  <si>
    <t>P552P143</t>
  </si>
  <si>
    <t>Torevoceco</t>
  </si>
  <si>
    <t>H896H295</t>
  </si>
  <si>
    <t>Potopi</t>
  </si>
  <si>
    <t>P483P793</t>
  </si>
  <si>
    <t>Garigove</t>
  </si>
  <si>
    <t>P386P897</t>
  </si>
  <si>
    <t>Toticigari</t>
  </si>
  <si>
    <t>H384P293</t>
  </si>
  <si>
    <t>Cafipevu</t>
  </si>
  <si>
    <t>H186P661</t>
  </si>
  <si>
    <t>Dimulativi</t>
  </si>
  <si>
    <t>P666P833</t>
  </si>
  <si>
    <t>Corivu</t>
  </si>
  <si>
    <t>P269H142</t>
  </si>
  <si>
    <t>Pumetu</t>
  </si>
  <si>
    <t>P797H316</t>
  </si>
  <si>
    <t>Tefipulo</t>
  </si>
  <si>
    <t>H662H252</t>
  </si>
  <si>
    <t>Vucipu</t>
  </si>
  <si>
    <t>H554H738</t>
  </si>
  <si>
    <t>Defuro</t>
  </si>
  <si>
    <t>H753H968</t>
  </si>
  <si>
    <t>Fanulofapu</t>
  </si>
  <si>
    <t>H665H688</t>
  </si>
  <si>
    <t>Vapede</t>
  </si>
  <si>
    <t>P519H985</t>
  </si>
  <si>
    <t>Geracegilu</t>
  </si>
  <si>
    <t>H925P723</t>
  </si>
  <si>
    <t>Cofope</t>
  </si>
  <si>
    <t>H836P281</t>
  </si>
  <si>
    <t>Metaganacu</t>
  </si>
  <si>
    <t>H627H271</t>
  </si>
  <si>
    <t>Tigudopuge</t>
  </si>
  <si>
    <t>H977H547</t>
  </si>
  <si>
    <t>Rititogo</t>
  </si>
  <si>
    <t>P944H434</t>
  </si>
  <si>
    <t>Porupelipe</t>
  </si>
  <si>
    <t>H248H538</t>
  </si>
  <si>
    <t>Nirefe</t>
  </si>
  <si>
    <t>H625P674</t>
  </si>
  <si>
    <t>Rigire</t>
  </si>
  <si>
    <t>P587H231</t>
  </si>
  <si>
    <t>Nudipi</t>
  </si>
  <si>
    <t>P226P565</t>
  </si>
  <si>
    <t>Pinuvufigu</t>
  </si>
  <si>
    <t>H885H929</t>
  </si>
  <si>
    <t>Vavara</t>
  </si>
  <si>
    <t>H645H619</t>
  </si>
  <si>
    <t>Turevi</t>
  </si>
  <si>
    <t>H333P673</t>
  </si>
  <si>
    <t>Conuvito</t>
  </si>
  <si>
    <t>P664P639</t>
  </si>
  <si>
    <t>Mupovara</t>
  </si>
  <si>
    <t>H659H495</t>
  </si>
  <si>
    <t>Falumavu</t>
  </si>
  <si>
    <t>H653P541</t>
  </si>
  <si>
    <t>Pefefe</t>
  </si>
  <si>
    <t>P727H979</t>
  </si>
  <si>
    <t>Pupelopipa</t>
  </si>
  <si>
    <t>H228P446</t>
  </si>
  <si>
    <t>Nopono</t>
  </si>
  <si>
    <t>H835P991</t>
  </si>
  <si>
    <t>Viputopopu</t>
  </si>
  <si>
    <t>H415H252</t>
  </si>
  <si>
    <t>Tivopopo</t>
  </si>
  <si>
    <t>P727P385</t>
  </si>
  <si>
    <t>Cicelo</t>
  </si>
  <si>
    <t>P485P512</t>
  </si>
  <si>
    <t>Fupiri</t>
  </si>
  <si>
    <t>P742P641</t>
  </si>
  <si>
    <t>Ruruli</t>
  </si>
  <si>
    <t>H118H353</t>
  </si>
  <si>
    <t>Nimomopape</t>
  </si>
  <si>
    <t>P489H694</t>
  </si>
  <si>
    <t>Ritamodoru</t>
  </si>
  <si>
    <t>P425P391</t>
  </si>
  <si>
    <t>Tapomu</t>
  </si>
  <si>
    <t>H656H135</t>
  </si>
  <si>
    <t>Tatovuvema</t>
  </si>
  <si>
    <t>H649H587</t>
  </si>
  <si>
    <t>Lopiroro</t>
  </si>
  <si>
    <t>H727P522</t>
  </si>
  <si>
    <t>Furagi</t>
  </si>
  <si>
    <t>H672P749</t>
  </si>
  <si>
    <t>Ridamipoca</t>
  </si>
  <si>
    <t>H555P437</t>
  </si>
  <si>
    <t>Diporare</t>
  </si>
  <si>
    <t>P494H522</t>
  </si>
  <si>
    <t>Laguta</t>
  </si>
  <si>
    <t>P486P153</t>
  </si>
  <si>
    <t>Mopapilovo</t>
  </si>
  <si>
    <t>P688P189</t>
  </si>
  <si>
    <t>Potulopu</t>
  </si>
  <si>
    <t>P888P791</t>
  </si>
  <si>
    <t>Nopunemopi</t>
  </si>
  <si>
    <t>H177P482</t>
  </si>
  <si>
    <t>Nuvumuli</t>
  </si>
  <si>
    <t>P919H177</t>
  </si>
  <si>
    <t>Tenecu</t>
  </si>
  <si>
    <t>H563P651</t>
  </si>
  <si>
    <t>Todarito</t>
  </si>
  <si>
    <t>P865P645</t>
  </si>
  <si>
    <t>Feleforu</t>
  </si>
  <si>
    <t>H749P458</t>
  </si>
  <si>
    <t>Pogupamopu</t>
  </si>
  <si>
    <t>P546H313</t>
  </si>
  <si>
    <t>Tagetenafu</t>
  </si>
  <si>
    <t>H774H478</t>
  </si>
  <si>
    <t>Mipame</t>
  </si>
  <si>
    <t>P845P187</t>
  </si>
  <si>
    <t>Tulapi</t>
  </si>
  <si>
    <t>P813H364</t>
  </si>
  <si>
    <t>Movufi</t>
  </si>
  <si>
    <t>P765H125</t>
  </si>
  <si>
    <t>Pacitepa</t>
  </si>
  <si>
    <t>H361H588</t>
  </si>
  <si>
    <t>Filefa</t>
  </si>
  <si>
    <t>H985P685</t>
  </si>
  <si>
    <t>Ginuvumofi</t>
  </si>
  <si>
    <t>H912H128</t>
  </si>
  <si>
    <t>Vapotidu</t>
  </si>
  <si>
    <t>H454H735</t>
  </si>
  <si>
    <t>Toluvavima</t>
  </si>
  <si>
    <t>P142H222</t>
  </si>
  <si>
    <t>Nilumi</t>
  </si>
  <si>
    <t>H274H188</t>
  </si>
  <si>
    <t>Gofipepive</t>
  </si>
  <si>
    <t>P119H836</t>
  </si>
  <si>
    <t>Tonulofuro</t>
  </si>
  <si>
    <t>H892H167</t>
  </si>
  <si>
    <t>Denapinu</t>
  </si>
  <si>
    <t>H397H472</t>
  </si>
  <si>
    <t>Vitigilifi</t>
  </si>
  <si>
    <t>P181H631</t>
  </si>
  <si>
    <t>Topoli</t>
  </si>
  <si>
    <t>P923P739</t>
  </si>
  <si>
    <t>Vupati</t>
  </si>
  <si>
    <t>P457P333</t>
  </si>
  <si>
    <t>Vuvarorera</t>
  </si>
  <si>
    <t>P364P669</t>
  </si>
  <si>
    <t>Letevi</t>
  </si>
  <si>
    <t>H812H145</t>
  </si>
  <si>
    <t>Peponipo</t>
  </si>
  <si>
    <t>H936P939</t>
  </si>
  <si>
    <t>Rafeta</t>
  </si>
  <si>
    <t>P132P319</t>
  </si>
  <si>
    <t>Neropefiti</t>
  </si>
  <si>
    <t>H812P545</t>
  </si>
  <si>
    <t>Vedupunaru</t>
  </si>
  <si>
    <t>H888H535</t>
  </si>
  <si>
    <t>Fucocenuvo</t>
  </si>
  <si>
    <t>H616P493</t>
  </si>
  <si>
    <t>Pidurife</t>
  </si>
  <si>
    <t>P381H549</t>
  </si>
  <si>
    <t>Pitolupu</t>
  </si>
  <si>
    <t>H533P362</t>
  </si>
  <si>
    <t>Timeru</t>
  </si>
  <si>
    <t>H883P899</t>
  </si>
  <si>
    <t>Pepali</t>
  </si>
  <si>
    <t>H895P569</t>
  </si>
  <si>
    <t>Fecuvu</t>
  </si>
  <si>
    <t>P818H941</t>
  </si>
  <si>
    <t>Gutucipo</t>
  </si>
  <si>
    <t>H547P311</t>
  </si>
  <si>
    <t>Tanepa</t>
  </si>
  <si>
    <t>P232P432</t>
  </si>
  <si>
    <t>Cavapodeni</t>
  </si>
  <si>
    <t>P658P868</t>
  </si>
  <si>
    <t>Nupucu</t>
  </si>
  <si>
    <t>P654H368</t>
  </si>
  <si>
    <t>Gecopepige</t>
  </si>
  <si>
    <t>H229H785</t>
  </si>
  <si>
    <t>Torace</t>
  </si>
  <si>
    <t>H579P381</t>
  </si>
  <si>
    <t>Mefatare</t>
  </si>
  <si>
    <t>P913P669</t>
  </si>
  <si>
    <t>Cepogevado</t>
  </si>
  <si>
    <t>P372H953</t>
  </si>
  <si>
    <t>Retafurufu</t>
  </si>
  <si>
    <t>H275P682</t>
  </si>
  <si>
    <t>Votici</t>
  </si>
  <si>
    <t>P845H428</t>
  </si>
  <si>
    <t>Moroceci</t>
  </si>
  <si>
    <t>P821H454</t>
  </si>
  <si>
    <t>Mutaropa</t>
  </si>
  <si>
    <t>H753H743</t>
  </si>
  <si>
    <t>Dopapunu</t>
  </si>
  <si>
    <t>H952P575</t>
  </si>
  <si>
    <t>Ritepacedo</t>
  </si>
  <si>
    <t>H136P165</t>
  </si>
  <si>
    <t>Petopo</t>
  </si>
  <si>
    <t>H181H773</t>
  </si>
  <si>
    <t>Nugiti</t>
  </si>
  <si>
    <t>P845P627</t>
  </si>
  <si>
    <t>Gelilolo</t>
  </si>
  <si>
    <t>H212H328</t>
  </si>
  <si>
    <t>Gopororuco</t>
  </si>
  <si>
    <t>H879P718</t>
  </si>
  <si>
    <t>Repugo</t>
  </si>
  <si>
    <t>H412P682</t>
  </si>
  <si>
    <t>Tudore</t>
  </si>
  <si>
    <t>P267H259</t>
  </si>
  <si>
    <t>Rugira</t>
  </si>
  <si>
    <t>H469P267</t>
  </si>
  <si>
    <t>Cifudupo</t>
  </si>
  <si>
    <t>P731H916</t>
  </si>
  <si>
    <t>Lapoveco</t>
  </si>
  <si>
    <t>H133H434</t>
  </si>
  <si>
    <t>Popela</t>
  </si>
  <si>
    <t>H366H864</t>
  </si>
  <si>
    <t>Voturapi</t>
  </si>
  <si>
    <t>H653H173</t>
  </si>
  <si>
    <t>Cenirago</t>
  </si>
  <si>
    <t>H863P553</t>
  </si>
  <si>
    <t>Cipipo</t>
  </si>
  <si>
    <t>P871P913</t>
  </si>
  <si>
    <t>Pigupipeta</t>
  </si>
  <si>
    <t>P518P274</t>
  </si>
  <si>
    <t>Comecope</t>
  </si>
  <si>
    <t>P551H135</t>
  </si>
  <si>
    <t>Natutupige</t>
  </si>
  <si>
    <t>P449P777</t>
  </si>
  <si>
    <t>Patoto</t>
  </si>
  <si>
    <t>P851P885</t>
  </si>
  <si>
    <t>Taviri</t>
  </si>
  <si>
    <t>P299P916</t>
  </si>
  <si>
    <t>Nepira</t>
  </si>
  <si>
    <t>H887P957</t>
  </si>
  <si>
    <t>Litenele</t>
  </si>
  <si>
    <t>P386H897</t>
  </si>
  <si>
    <t>Fipacu</t>
  </si>
  <si>
    <t>H866P457</t>
  </si>
  <si>
    <t>Rupepale</t>
  </si>
  <si>
    <t>P561H778</t>
  </si>
  <si>
    <t>Vopogi</t>
  </si>
  <si>
    <t>H488P917</t>
  </si>
  <si>
    <t>Marate</t>
  </si>
  <si>
    <t>H592P846</t>
  </si>
  <si>
    <t>Pirapige</t>
  </si>
  <si>
    <t>H582H889</t>
  </si>
  <si>
    <t>Gupilu</t>
  </si>
  <si>
    <t>H543H627</t>
  </si>
  <si>
    <t>Dimitire</t>
  </si>
  <si>
    <t>H241P754</t>
  </si>
  <si>
    <t>Maluri</t>
  </si>
  <si>
    <t>H354H132</t>
  </si>
  <si>
    <t>Pegale</t>
  </si>
  <si>
    <t>H287P893</t>
  </si>
  <si>
    <t>Renuce</t>
  </si>
  <si>
    <t>H482H713</t>
  </si>
  <si>
    <t>Pumurepa</t>
  </si>
  <si>
    <t>P213P376</t>
  </si>
  <si>
    <t>Ripatopu</t>
  </si>
  <si>
    <t>P632P728</t>
  </si>
  <si>
    <t>Lapepatori</t>
  </si>
  <si>
    <t>H726H958</t>
  </si>
  <si>
    <t>Lacepi</t>
  </si>
  <si>
    <t>P427P659</t>
  </si>
  <si>
    <t>Pomeponivu</t>
  </si>
  <si>
    <t>P534P493</t>
  </si>
  <si>
    <t>Malecotu</t>
  </si>
  <si>
    <t>H155H148</t>
  </si>
  <si>
    <t>Nufiledu</t>
  </si>
  <si>
    <t>H421H252</t>
  </si>
  <si>
    <t>Mufape</t>
  </si>
  <si>
    <t>H942P584</t>
  </si>
  <si>
    <t>Popune</t>
  </si>
  <si>
    <t>H394P168</t>
  </si>
  <si>
    <t>Tufupote</t>
  </si>
  <si>
    <t>P483P726</t>
  </si>
  <si>
    <t>Ratopada</t>
  </si>
  <si>
    <t>P329H621</t>
  </si>
  <si>
    <t>Mafuro</t>
  </si>
  <si>
    <t>P816H612</t>
  </si>
  <si>
    <t>Pufimimo</t>
  </si>
  <si>
    <t>H186P944</t>
  </si>
  <si>
    <t>Fucogota</t>
  </si>
  <si>
    <t>H279P172</t>
  </si>
  <si>
    <t>Canura</t>
  </si>
  <si>
    <t>H591H639</t>
  </si>
  <si>
    <t>Fivufafu</t>
  </si>
  <si>
    <t>P131P229</t>
  </si>
  <si>
    <t>Vineputu</t>
  </si>
  <si>
    <t>P233P365</t>
  </si>
  <si>
    <t>Derufu</t>
  </si>
  <si>
    <t>H689P722</t>
  </si>
  <si>
    <t>Torumavoce</t>
  </si>
  <si>
    <t>H838H419</t>
  </si>
  <si>
    <t>Rarirepipo</t>
  </si>
  <si>
    <t>P176P323</t>
  </si>
  <si>
    <t>Povagora</t>
  </si>
  <si>
    <t>H217P263</t>
  </si>
  <si>
    <t>Peruface</t>
  </si>
  <si>
    <t>P121H423</t>
  </si>
  <si>
    <t>Fipigi</t>
  </si>
  <si>
    <t>P949H871</t>
  </si>
  <si>
    <t>Ritopufe</t>
  </si>
  <si>
    <t>P983H627</t>
  </si>
  <si>
    <t>Verugoto</t>
  </si>
  <si>
    <t>H946P642</t>
  </si>
  <si>
    <t>Vegomepu</t>
  </si>
  <si>
    <t>P127H823</t>
  </si>
  <si>
    <t>Raciremi</t>
  </si>
  <si>
    <t>P516P836</t>
  </si>
  <si>
    <t>Rarudacu</t>
  </si>
  <si>
    <t>P569H286</t>
  </si>
  <si>
    <t>Tipipe</t>
  </si>
  <si>
    <t>P535H895</t>
  </si>
  <si>
    <t>Vigopurutu</t>
  </si>
  <si>
    <t>H776P365</t>
  </si>
  <si>
    <t>Vanipe</t>
  </si>
  <si>
    <t>P893P147</t>
  </si>
  <si>
    <t>Dolere</t>
  </si>
  <si>
    <t>H578H215</t>
  </si>
  <si>
    <t>Nuvino</t>
  </si>
  <si>
    <t>P285P231</t>
  </si>
  <si>
    <t>Gamuvuro</t>
  </si>
  <si>
    <t>P514H711</t>
  </si>
  <si>
    <t>Mepuramale</t>
  </si>
  <si>
    <t>P294H125</t>
  </si>
  <si>
    <t>Gacugo</t>
  </si>
  <si>
    <t>H689H642</t>
  </si>
  <si>
    <t>Tavede</t>
  </si>
  <si>
    <t>H846P751</t>
  </si>
  <si>
    <t>Vuroceloru</t>
  </si>
  <si>
    <t>H446P691</t>
  </si>
  <si>
    <t>Vuropi</t>
  </si>
  <si>
    <t>H241P728</t>
  </si>
  <si>
    <t>Garape</t>
  </si>
  <si>
    <t>H117P311</t>
  </si>
  <si>
    <t>Miramunu</t>
  </si>
  <si>
    <t>H911H317</t>
  </si>
  <si>
    <t>Corupucaru</t>
  </si>
  <si>
    <t>P797P377</t>
  </si>
  <si>
    <t>Padipo</t>
  </si>
  <si>
    <t>H131P267</t>
  </si>
  <si>
    <t>Votevago</t>
  </si>
  <si>
    <t>H314P492</t>
  </si>
  <si>
    <t>Ridodi</t>
  </si>
  <si>
    <t>H771H734</t>
  </si>
  <si>
    <t>Metavi</t>
  </si>
  <si>
    <t>P599H516</t>
  </si>
  <si>
    <t>Doderirani</t>
  </si>
  <si>
    <t>P691P154</t>
  </si>
  <si>
    <t>Pogodiru</t>
  </si>
  <si>
    <t>P886H581</t>
  </si>
  <si>
    <t>Guparove</t>
  </si>
  <si>
    <t>P723H496</t>
  </si>
  <si>
    <t>Ragoratepo</t>
  </si>
  <si>
    <t>H246P898</t>
  </si>
  <si>
    <t>Dolelepo</t>
  </si>
  <si>
    <t>H158P516</t>
  </si>
  <si>
    <t>Dotate</t>
  </si>
  <si>
    <t>P196P971</t>
  </si>
  <si>
    <t>Pucemeri</t>
  </si>
  <si>
    <t>P628P437</t>
  </si>
  <si>
    <t>Datotupume</t>
  </si>
  <si>
    <t>P385P169</t>
  </si>
  <si>
    <t>Podumo</t>
  </si>
  <si>
    <t>H713H422</t>
  </si>
  <si>
    <t>Gilitimepe</t>
  </si>
  <si>
    <t>P384H318</t>
  </si>
  <si>
    <t>Palicu</t>
  </si>
  <si>
    <t>H885H563</t>
  </si>
  <si>
    <t>Nerunatace</t>
  </si>
  <si>
    <t>P752H842</t>
  </si>
  <si>
    <t>Temica</t>
  </si>
  <si>
    <t>P546H542</t>
  </si>
  <si>
    <t>Farucumo</t>
  </si>
  <si>
    <t>P183P283</t>
  </si>
  <si>
    <t>Tudocoruta</t>
  </si>
  <si>
    <t>H411P767</t>
  </si>
  <si>
    <t>Topupefi</t>
  </si>
  <si>
    <t>H535P629</t>
  </si>
  <si>
    <t>Pitiloga</t>
  </si>
  <si>
    <t>H591H641</t>
  </si>
  <si>
    <t>Rupuvepipo</t>
  </si>
  <si>
    <t>P726H898</t>
  </si>
  <si>
    <t>Tetopatotu</t>
  </si>
  <si>
    <t>P565P443</t>
  </si>
  <si>
    <t>Roretanupe</t>
  </si>
  <si>
    <t>P799H443</t>
  </si>
  <si>
    <t>Rirapimapi</t>
  </si>
  <si>
    <t>P463H252</t>
  </si>
  <si>
    <t>Runulagipu</t>
  </si>
  <si>
    <t>P456P861</t>
  </si>
  <si>
    <t>Gupeminu</t>
  </si>
  <si>
    <t>H486H632</t>
  </si>
  <si>
    <t>Puritapo</t>
  </si>
  <si>
    <t>P147H657</t>
  </si>
  <si>
    <t>Nudido</t>
  </si>
  <si>
    <t>H575P788</t>
  </si>
  <si>
    <t>Fulapu</t>
  </si>
  <si>
    <t>H978P212</t>
  </si>
  <si>
    <t>Rigupetede</t>
  </si>
  <si>
    <t>H575P349</t>
  </si>
  <si>
    <t>Rurunetu</t>
  </si>
  <si>
    <t>H826H173</t>
  </si>
  <si>
    <t>Lapigonidi</t>
  </si>
  <si>
    <t>P965H281</t>
  </si>
  <si>
    <t>Mavodofa</t>
  </si>
  <si>
    <t>H456H882</t>
  </si>
  <si>
    <t>Capapi</t>
  </si>
  <si>
    <t>H936P814</t>
  </si>
  <si>
    <t>Dopetupo</t>
  </si>
  <si>
    <t>H342P996</t>
  </si>
  <si>
    <t>Vigipepave</t>
  </si>
  <si>
    <t>P185H769</t>
  </si>
  <si>
    <t>Ramupeca</t>
  </si>
  <si>
    <t>P847H232</t>
  </si>
  <si>
    <t>Fidefutumo</t>
  </si>
  <si>
    <t>P178H222</t>
  </si>
  <si>
    <t>Dupovura</t>
  </si>
  <si>
    <t>H188H328</t>
  </si>
  <si>
    <t>Tumedinu</t>
  </si>
  <si>
    <t>H627P294</t>
  </si>
  <si>
    <t>Ravitomopi</t>
  </si>
  <si>
    <t>H624H612</t>
  </si>
  <si>
    <t>Tufama</t>
  </si>
  <si>
    <t>P483P875</t>
  </si>
  <si>
    <t>Totiranepi</t>
  </si>
  <si>
    <t>P893P848</t>
  </si>
  <si>
    <t>Tafonicetu</t>
  </si>
  <si>
    <t>H848H735</t>
  </si>
  <si>
    <t>Tapavucome</t>
  </si>
  <si>
    <t>P182P543</t>
  </si>
  <si>
    <t>Rutepurefo</t>
  </si>
  <si>
    <t>P531H634</t>
  </si>
  <si>
    <t>Lopirapepa</t>
  </si>
  <si>
    <t>P111P428</t>
  </si>
  <si>
    <t>Giregope</t>
  </si>
  <si>
    <t>H466H446</t>
  </si>
  <si>
    <t>Rodope</t>
  </si>
  <si>
    <t>H245P338</t>
  </si>
  <si>
    <t>Gucupidu</t>
  </si>
  <si>
    <t>H918H278</t>
  </si>
  <si>
    <t>Relodudira</t>
  </si>
  <si>
    <t>P215H928</t>
  </si>
  <si>
    <t>Gipidope</t>
  </si>
  <si>
    <t>H641P882</t>
  </si>
  <si>
    <t>Gedatoviri</t>
  </si>
  <si>
    <t>H566H376</t>
  </si>
  <si>
    <t>Caveva</t>
  </si>
  <si>
    <t>H165H999</t>
  </si>
  <si>
    <t>Cigipecu</t>
  </si>
  <si>
    <t>H547H165</t>
  </si>
  <si>
    <t>Dupodopu</t>
  </si>
  <si>
    <t>H644P723</t>
  </si>
  <si>
    <t>Depuracavu</t>
  </si>
  <si>
    <t>H413H844</t>
  </si>
  <si>
    <t>Refepanero</t>
  </si>
  <si>
    <t>H716P375</t>
  </si>
  <si>
    <t>Nopateto</t>
  </si>
  <si>
    <t>H265P127</t>
  </si>
  <si>
    <t>Puperafova</t>
  </si>
  <si>
    <t>H765H348</t>
  </si>
  <si>
    <t>Topogore</t>
  </si>
  <si>
    <t>H886H882</t>
  </si>
  <si>
    <t>Demapi</t>
  </si>
  <si>
    <t>P914H298</t>
  </si>
  <si>
    <t>Miponapapu</t>
  </si>
  <si>
    <t>P815P977</t>
  </si>
  <si>
    <t>Goputati</t>
  </si>
  <si>
    <t>H421H937</t>
  </si>
  <si>
    <t>Cadimute</t>
  </si>
  <si>
    <t>H182H856</t>
  </si>
  <si>
    <t>Faropo</t>
  </si>
  <si>
    <t>P227H249</t>
  </si>
  <si>
    <t>Riliri</t>
  </si>
  <si>
    <t>H819P213</t>
  </si>
  <si>
    <t>Gevimugepe</t>
  </si>
  <si>
    <t>P139P598</t>
  </si>
  <si>
    <t>Pifonomegi</t>
  </si>
  <si>
    <t>H975P179</t>
  </si>
  <si>
    <t>Felaceno</t>
  </si>
  <si>
    <t>H366P418</t>
  </si>
  <si>
    <t>Mupopuva</t>
  </si>
  <si>
    <t>H943P482</t>
  </si>
  <si>
    <t>Mapidemo</t>
  </si>
  <si>
    <t>P363P381</t>
  </si>
  <si>
    <t>Dagaripi</t>
  </si>
  <si>
    <t>P112P542</t>
  </si>
  <si>
    <t>Ruguvi</t>
  </si>
  <si>
    <t>H592P347</t>
  </si>
  <si>
    <t>Pudeto</t>
  </si>
  <si>
    <t>H693P226</t>
  </si>
  <si>
    <t>Pitogucera</t>
  </si>
  <si>
    <t>P298P281</t>
  </si>
  <si>
    <t>Duvidu</t>
  </si>
  <si>
    <t>P475H211</t>
  </si>
  <si>
    <t>Tupupitu</t>
  </si>
  <si>
    <t>H754H737</t>
  </si>
  <si>
    <t>Neficera</t>
  </si>
  <si>
    <t>H713H948</t>
  </si>
  <si>
    <t>Togofo</t>
  </si>
  <si>
    <t>H149P651</t>
  </si>
  <si>
    <t>Tugepinice</t>
  </si>
  <si>
    <t>P993P922</t>
  </si>
  <si>
    <t>Matuvuve</t>
  </si>
  <si>
    <t>H869P952</t>
  </si>
  <si>
    <t>Cunofane</t>
  </si>
  <si>
    <t>H668H286</t>
  </si>
  <si>
    <t>Getopigi</t>
  </si>
  <si>
    <t>H264H836</t>
  </si>
  <si>
    <t>Parofo</t>
  </si>
  <si>
    <t>H769P359</t>
  </si>
  <si>
    <t>Tulovo</t>
  </si>
  <si>
    <t>H473P477</t>
  </si>
  <si>
    <t>Tunuca</t>
  </si>
  <si>
    <t>P418P963</t>
  </si>
  <si>
    <t>Fipilodero</t>
  </si>
  <si>
    <t>P373P771</t>
  </si>
  <si>
    <t>Polotovi</t>
  </si>
  <si>
    <t>H398H131</t>
  </si>
  <si>
    <t>Terunoru</t>
  </si>
  <si>
    <t>H662H736</t>
  </si>
  <si>
    <t>Vinilaceri</t>
  </si>
  <si>
    <t>H333P992</t>
  </si>
  <si>
    <t>Renada</t>
  </si>
  <si>
    <t>H613H354</t>
  </si>
  <si>
    <t>Tatepoti</t>
  </si>
  <si>
    <t>P583P428</t>
  </si>
  <si>
    <t>Refema</t>
  </si>
  <si>
    <t>P175P643</t>
  </si>
  <si>
    <t>Pacepupi</t>
  </si>
  <si>
    <t>P971P246</t>
  </si>
  <si>
    <t>Dopemedero</t>
  </si>
  <si>
    <t>P933H836</t>
  </si>
  <si>
    <t>Gefevofe</t>
  </si>
  <si>
    <t>P721H182</t>
  </si>
  <si>
    <t>Cefoticepo</t>
  </si>
  <si>
    <t>P118H787</t>
  </si>
  <si>
    <t>Picimipive</t>
  </si>
  <si>
    <t>P428P424</t>
  </si>
  <si>
    <t>Relutepe</t>
  </si>
  <si>
    <t>P667H449</t>
  </si>
  <si>
    <t>Totopo</t>
  </si>
  <si>
    <t>H725P374</t>
  </si>
  <si>
    <t>Navagapope</t>
  </si>
  <si>
    <t>P541H983</t>
  </si>
  <si>
    <t>Panovova</t>
  </si>
  <si>
    <t>H741P342</t>
  </si>
  <si>
    <t>Vonoci</t>
  </si>
  <si>
    <t>H531H724</t>
  </si>
  <si>
    <t>Lunilovu</t>
  </si>
  <si>
    <t>P778H189</t>
  </si>
  <si>
    <t>Tagutadi</t>
  </si>
  <si>
    <t>H749H519</t>
  </si>
  <si>
    <t>Vutuve</t>
  </si>
  <si>
    <t>P847P285</t>
  </si>
  <si>
    <t>Pemaripote</t>
  </si>
  <si>
    <t>H267P451</t>
  </si>
  <si>
    <t>Vuceto</t>
  </si>
  <si>
    <t>P594P578</t>
  </si>
  <si>
    <t>Cotori</t>
  </si>
  <si>
    <t>H536P195</t>
  </si>
  <si>
    <t>Titavavo</t>
  </si>
  <si>
    <t>P463P624</t>
  </si>
  <si>
    <t>Tocetanane</t>
  </si>
  <si>
    <t>P777H474</t>
  </si>
  <si>
    <t>Niretitefa</t>
  </si>
  <si>
    <t>H978P411</t>
  </si>
  <si>
    <t>Cucipanapi</t>
  </si>
  <si>
    <t>H378H136</t>
  </si>
  <si>
    <t>Pinudoci</t>
  </si>
  <si>
    <t>P454P589</t>
  </si>
  <si>
    <t>Rofiludimo</t>
  </si>
  <si>
    <t>P869H991</t>
  </si>
  <si>
    <t>Refopu</t>
  </si>
  <si>
    <t>P614H282</t>
  </si>
  <si>
    <t>Poreve</t>
  </si>
  <si>
    <t>H885P635</t>
  </si>
  <si>
    <t>Caripate</t>
  </si>
  <si>
    <t>H715H369</t>
  </si>
  <si>
    <t>Dopofuginu</t>
  </si>
  <si>
    <t>H128P723</t>
  </si>
  <si>
    <t>Pifipo</t>
  </si>
  <si>
    <t>P525P286</t>
  </si>
  <si>
    <t>Ririnape</t>
  </si>
  <si>
    <t>P228H944</t>
  </si>
  <si>
    <t>Pacovogacu</t>
  </si>
  <si>
    <t>P182H935</t>
  </si>
  <si>
    <t>Porarilume</t>
  </si>
  <si>
    <t>P162P898</t>
  </si>
  <si>
    <t>Tipeco</t>
  </si>
  <si>
    <t>P347P258</t>
  </si>
  <si>
    <t>Mipopime</t>
  </si>
  <si>
    <t>P627H464</t>
  </si>
  <si>
    <t>Nifadelupi</t>
  </si>
  <si>
    <t>H788H339</t>
  </si>
  <si>
    <t>Pilipopepa</t>
  </si>
  <si>
    <t>H364H561</t>
  </si>
  <si>
    <t>Regedodidu</t>
  </si>
  <si>
    <t>H715H254</t>
  </si>
  <si>
    <t>Fatuponafa</t>
  </si>
  <si>
    <t>H979P574</t>
  </si>
  <si>
    <t>Cetaderari</t>
  </si>
  <si>
    <t>P651H985</t>
  </si>
  <si>
    <t>Virira</t>
  </si>
  <si>
    <t>H611H517</t>
  </si>
  <si>
    <t>Vodige</t>
  </si>
  <si>
    <t>P187H411</t>
  </si>
  <si>
    <t>Papuguvime</t>
  </si>
  <si>
    <t>P976P311</t>
  </si>
  <si>
    <t>Pirimo</t>
  </si>
  <si>
    <t>P545P259</t>
  </si>
  <si>
    <t>Loritita</t>
  </si>
  <si>
    <t>P649H182</t>
  </si>
  <si>
    <t>Ticamumo</t>
  </si>
  <si>
    <t>H989P224</t>
  </si>
  <si>
    <t>Pavare</t>
  </si>
  <si>
    <t>P578P924</t>
  </si>
  <si>
    <t>Vavofalapu</t>
  </si>
  <si>
    <t>P159H732</t>
  </si>
  <si>
    <t>Gonuma</t>
  </si>
  <si>
    <t>H489H297</t>
  </si>
  <si>
    <t>Cocepa</t>
  </si>
  <si>
    <t>H375P272</t>
  </si>
  <si>
    <t>Papocite</t>
  </si>
  <si>
    <t>H551H396</t>
  </si>
  <si>
    <t>Dipali</t>
  </si>
  <si>
    <t>H682H513</t>
  </si>
  <si>
    <t>Filave</t>
  </si>
  <si>
    <t>H694H512</t>
  </si>
  <si>
    <t>Dipige</t>
  </si>
  <si>
    <t>P153H512</t>
  </si>
  <si>
    <t>Tevata</t>
  </si>
  <si>
    <t>P897P248</t>
  </si>
  <si>
    <t>Pagepu</t>
  </si>
  <si>
    <t>P237H835</t>
  </si>
  <si>
    <t>Vifipi</t>
  </si>
  <si>
    <t>P231H762</t>
  </si>
  <si>
    <t>Tuvife</t>
  </si>
  <si>
    <t>H726H325</t>
  </si>
  <si>
    <t>Diteciname</t>
  </si>
  <si>
    <t>H292H233</t>
  </si>
  <si>
    <t>Padaripipa</t>
  </si>
  <si>
    <t>H517P622</t>
  </si>
  <si>
    <t>Napuferolo</t>
  </si>
  <si>
    <t>H711P875</t>
  </si>
  <si>
    <t>Pufipucute</t>
  </si>
  <si>
    <t>H514P451</t>
  </si>
  <si>
    <t>Pamatonepe</t>
  </si>
  <si>
    <t>H527P215</t>
  </si>
  <si>
    <t>Figugidi</t>
  </si>
  <si>
    <t>P212H834</t>
  </si>
  <si>
    <t>Vinivomeru</t>
  </si>
  <si>
    <t>P436P729</t>
  </si>
  <si>
    <t>Vitale</t>
  </si>
  <si>
    <t>H566H456</t>
  </si>
  <si>
    <t>Vepinipude</t>
  </si>
  <si>
    <t>P464H243</t>
  </si>
  <si>
    <t>Titagegi</t>
  </si>
  <si>
    <t>H567H939</t>
  </si>
  <si>
    <t>Virini</t>
  </si>
  <si>
    <t>P124H952</t>
  </si>
  <si>
    <t>Titote</t>
  </si>
  <si>
    <t>H279H277</t>
  </si>
  <si>
    <t>Pulupedidi</t>
  </si>
  <si>
    <t>P853H781</t>
  </si>
  <si>
    <t>Penadature</t>
  </si>
  <si>
    <t>P734P511</t>
  </si>
  <si>
    <t>Vetamomoce</t>
  </si>
  <si>
    <t>P598H245</t>
  </si>
  <si>
    <t>Tudavepodi</t>
  </si>
  <si>
    <t>P887H595</t>
  </si>
  <si>
    <t>Pupuraro</t>
  </si>
  <si>
    <t>P957P727</t>
  </si>
  <si>
    <t>Durepidupe</t>
  </si>
  <si>
    <t>H992H688</t>
  </si>
  <si>
    <t>Rufivemo</t>
  </si>
  <si>
    <t>P483P528</t>
  </si>
  <si>
    <t>Fetogimi</t>
  </si>
  <si>
    <t>H457H558</t>
  </si>
  <si>
    <t>Pocurunoga</t>
  </si>
  <si>
    <t>H325P897</t>
  </si>
  <si>
    <t>Pofivono</t>
  </si>
  <si>
    <t>P278H669</t>
  </si>
  <si>
    <t>Vogefo</t>
  </si>
  <si>
    <t>P838P467</t>
  </si>
  <si>
    <t>Fopuvi</t>
  </si>
  <si>
    <t>P297P621</t>
  </si>
  <si>
    <t>Locaguviro</t>
  </si>
  <si>
    <t>H588H233</t>
  </si>
  <si>
    <t>Nepidu</t>
  </si>
  <si>
    <t>P917H856</t>
  </si>
  <si>
    <t>Nupudoca</t>
  </si>
  <si>
    <t>H791H168</t>
  </si>
  <si>
    <t>Petapomu</t>
  </si>
  <si>
    <t>H978H861</t>
  </si>
  <si>
    <t>Togupanu</t>
  </si>
  <si>
    <t>P954H251</t>
  </si>
  <si>
    <t>Naligede</t>
  </si>
  <si>
    <t>P249P851</t>
  </si>
  <si>
    <t>Papino</t>
  </si>
  <si>
    <t>H469H593</t>
  </si>
  <si>
    <t>Calovonete</t>
  </si>
  <si>
    <t>H672H151</t>
  </si>
  <si>
    <t>Vamuretolo</t>
  </si>
  <si>
    <t>P661H577</t>
  </si>
  <si>
    <t>Pefori</t>
  </si>
  <si>
    <t>P532P186</t>
  </si>
  <si>
    <t>Detinuci</t>
  </si>
  <si>
    <t>H197H426</t>
  </si>
  <si>
    <t>Pipetace</t>
  </si>
  <si>
    <t>P592P618</t>
  </si>
  <si>
    <t>Norega</t>
  </si>
  <si>
    <t>H147P415</t>
  </si>
  <si>
    <t>Fitodepoca</t>
  </si>
  <si>
    <t>P895P756</t>
  </si>
  <si>
    <t>Toterova</t>
  </si>
  <si>
    <t>H945P721</t>
  </si>
  <si>
    <t>Rupedi</t>
  </si>
  <si>
    <t>P146P219</t>
  </si>
  <si>
    <t>Pupopo</t>
  </si>
  <si>
    <t>H518H966</t>
  </si>
  <si>
    <t>Firore</t>
  </si>
  <si>
    <t>H788H556</t>
  </si>
  <si>
    <t>Padutafe</t>
  </si>
  <si>
    <t>P438P496</t>
  </si>
  <si>
    <t>Pelive</t>
  </si>
  <si>
    <t>P777P364</t>
  </si>
  <si>
    <t>Peveroni</t>
  </si>
  <si>
    <t>P568H864</t>
  </si>
  <si>
    <t>Renaraguvo</t>
  </si>
  <si>
    <t>P985P121</t>
  </si>
  <si>
    <t>Dumira</t>
  </si>
  <si>
    <t>P744H764</t>
  </si>
  <si>
    <t>Tarape</t>
  </si>
  <si>
    <t>H448H734</t>
  </si>
  <si>
    <t>Decimugico</t>
  </si>
  <si>
    <t>H946H846</t>
  </si>
  <si>
    <t>Raremupa</t>
  </si>
  <si>
    <t>H742P375</t>
  </si>
  <si>
    <t>Lodafiti</t>
  </si>
  <si>
    <t>H946P454</t>
  </si>
  <si>
    <t>Totetagera</t>
  </si>
  <si>
    <t>P771H744</t>
  </si>
  <si>
    <t>Mopema</t>
  </si>
  <si>
    <t>H245H431</t>
  </si>
  <si>
    <t>Citomocinu</t>
  </si>
  <si>
    <t>P623H931</t>
  </si>
  <si>
    <t>Ramiputofo</t>
  </si>
  <si>
    <t>P469H967</t>
  </si>
  <si>
    <t>Marigu</t>
  </si>
  <si>
    <t>P887P472</t>
  </si>
  <si>
    <t>Vipefa</t>
  </si>
  <si>
    <t>P552H365</t>
  </si>
  <si>
    <t>Putitoni</t>
  </si>
  <si>
    <t>H842P672</t>
  </si>
  <si>
    <t>Fodotomu</t>
  </si>
  <si>
    <t>P789H913</t>
  </si>
  <si>
    <t>Limalegado</t>
  </si>
  <si>
    <t>H635H414</t>
  </si>
  <si>
    <t>Riguruvani</t>
  </si>
  <si>
    <t>H742H813</t>
  </si>
  <si>
    <t>Fanapu</t>
  </si>
  <si>
    <t>H563H462</t>
  </si>
  <si>
    <t>Gimuvilane</t>
  </si>
  <si>
    <t>H571H791</t>
  </si>
  <si>
    <t>Motonodo</t>
  </si>
  <si>
    <t>H644P868</t>
  </si>
  <si>
    <t>Recunavi</t>
  </si>
  <si>
    <t>P467P367</t>
  </si>
  <si>
    <t>Peputepufi</t>
  </si>
  <si>
    <t>H839H769</t>
  </si>
  <si>
    <t>Retorareri</t>
  </si>
  <si>
    <t>P475P597</t>
  </si>
  <si>
    <t>Ravanenora</t>
  </si>
  <si>
    <t>P571H921</t>
  </si>
  <si>
    <t>Gepoguma</t>
  </si>
  <si>
    <t>H621P762</t>
  </si>
  <si>
    <t>Decumu</t>
  </si>
  <si>
    <t>H356P747</t>
  </si>
  <si>
    <t>Nutuvenu</t>
  </si>
  <si>
    <t>P311H434</t>
  </si>
  <si>
    <t>Pifotuponi</t>
  </si>
  <si>
    <t>H993H422</t>
  </si>
  <si>
    <t>Ripati</t>
  </si>
  <si>
    <t>H818H637</t>
  </si>
  <si>
    <t>Lovola</t>
  </si>
  <si>
    <t>P264H276</t>
  </si>
  <si>
    <t>Malirece</t>
  </si>
  <si>
    <t>P929P992</t>
  </si>
  <si>
    <t>Megepenopa</t>
  </si>
  <si>
    <t>P282H278</t>
  </si>
  <si>
    <t>Nanumadumo</t>
  </si>
  <si>
    <t>P197H677</t>
  </si>
  <si>
    <t>Pogora</t>
  </si>
  <si>
    <t>H742P755</t>
  </si>
  <si>
    <t>Rarinagu</t>
  </si>
  <si>
    <t>P155H888</t>
  </si>
  <si>
    <t>Nupifuri</t>
  </si>
  <si>
    <t>P646P316</t>
  </si>
  <si>
    <t>Popunata</t>
  </si>
  <si>
    <t>H388H333</t>
  </si>
  <si>
    <t>Pitupapape</t>
  </si>
  <si>
    <t>P488H981</t>
  </si>
  <si>
    <t>Lacepeta</t>
  </si>
  <si>
    <t>H196P132</t>
  </si>
  <si>
    <t>Midute</t>
  </si>
  <si>
    <t>P116H447</t>
  </si>
  <si>
    <t>Lirapori</t>
  </si>
  <si>
    <t>P314P552</t>
  </si>
  <si>
    <t>Duladofu</t>
  </si>
  <si>
    <t>P612H696</t>
  </si>
  <si>
    <t>Foreri</t>
  </si>
  <si>
    <t>P661P939</t>
  </si>
  <si>
    <t>Nolerumere</t>
  </si>
  <si>
    <t>P224P535</t>
  </si>
  <si>
    <t>Didedida</t>
  </si>
  <si>
    <t>H616P578</t>
  </si>
  <si>
    <t>Vagafe</t>
  </si>
  <si>
    <t>H944H643</t>
  </si>
  <si>
    <t>Pinopucipo</t>
  </si>
  <si>
    <t>H146H887</t>
  </si>
  <si>
    <t>Totugeri</t>
  </si>
  <si>
    <t>H664H593</t>
  </si>
  <si>
    <t>Devavegate</t>
  </si>
  <si>
    <t>P332P478</t>
  </si>
  <si>
    <t>Nupoli</t>
  </si>
  <si>
    <t>P375P436</t>
  </si>
  <si>
    <t>Tudatile</t>
  </si>
  <si>
    <t>P622P683</t>
  </si>
  <si>
    <t>Pifivine</t>
  </si>
  <si>
    <t>P197H737</t>
  </si>
  <si>
    <t>Puruturo</t>
  </si>
  <si>
    <t>P645P618</t>
  </si>
  <si>
    <t>Fagavenaca</t>
  </si>
  <si>
    <t>P172P944</t>
  </si>
  <si>
    <t>Lefodi</t>
  </si>
  <si>
    <t>H771H578</t>
  </si>
  <si>
    <t>Cacudo</t>
  </si>
  <si>
    <t>H881P556</t>
  </si>
  <si>
    <t>Rilaputu</t>
  </si>
  <si>
    <t>P623P251</t>
  </si>
  <si>
    <t>Lifetipode</t>
  </si>
  <si>
    <t>H137P286</t>
  </si>
  <si>
    <t>Cipevo</t>
  </si>
  <si>
    <t>H585P127</t>
  </si>
  <si>
    <t>Nopirupeca</t>
  </si>
  <si>
    <t>H664P645</t>
  </si>
  <si>
    <t>Pofitipe</t>
  </si>
  <si>
    <t>H396H578</t>
  </si>
  <si>
    <t>Pimerona</t>
  </si>
  <si>
    <t>H373P693</t>
  </si>
  <si>
    <t>Cotupu</t>
  </si>
  <si>
    <t>P859P955</t>
  </si>
  <si>
    <t>Rerepenupi</t>
  </si>
  <si>
    <t>H659H972</t>
  </si>
  <si>
    <t>Ticupapi</t>
  </si>
  <si>
    <t>H748H262</t>
  </si>
  <si>
    <t>Nolifepa</t>
  </si>
  <si>
    <t>H735H276</t>
  </si>
  <si>
    <t>Notomi</t>
  </si>
  <si>
    <t>H924P747</t>
  </si>
  <si>
    <t>Pecodepo</t>
  </si>
  <si>
    <t>H696P645</t>
  </si>
  <si>
    <t>Gotagu</t>
  </si>
  <si>
    <t>P539H548</t>
  </si>
  <si>
    <t>Dutaromipa</t>
  </si>
  <si>
    <t>P616P664</t>
  </si>
  <si>
    <t>Tutofagecu</t>
  </si>
  <si>
    <t>H974H952</t>
  </si>
  <si>
    <t>Rogunu</t>
  </si>
  <si>
    <t>H312P848</t>
  </si>
  <si>
    <t>Gotulipa</t>
  </si>
  <si>
    <t>H695P825</t>
  </si>
  <si>
    <t>Varipeme</t>
  </si>
  <si>
    <t>H592H278</t>
  </si>
  <si>
    <t>Potulope</t>
  </si>
  <si>
    <t>H848P855</t>
  </si>
  <si>
    <t>Demureno</t>
  </si>
  <si>
    <t>P148P529</t>
  </si>
  <si>
    <t>Dopirutevu</t>
  </si>
  <si>
    <t>H213P551</t>
  </si>
  <si>
    <t>Peculoremi</t>
  </si>
  <si>
    <t>H239H568</t>
  </si>
  <si>
    <t>Ritipa</t>
  </si>
  <si>
    <t>P298P658</t>
  </si>
  <si>
    <t>Papumuvi</t>
  </si>
  <si>
    <t>H454P574</t>
  </si>
  <si>
    <t>Nutodurere</t>
  </si>
  <si>
    <t>P543P527</t>
  </si>
  <si>
    <t>Dapapa</t>
  </si>
  <si>
    <t>H176P464</t>
  </si>
  <si>
    <t>Panoguriru</t>
  </si>
  <si>
    <t>P449P923</t>
  </si>
  <si>
    <t>Rocuceruci</t>
  </si>
  <si>
    <t>P191P291</t>
  </si>
  <si>
    <t>Munuruleti</t>
  </si>
  <si>
    <t>H416H396</t>
  </si>
  <si>
    <t>Vivoli</t>
  </si>
  <si>
    <t>P763H461</t>
  </si>
  <si>
    <t>Ticelutafi</t>
  </si>
  <si>
    <t>P591H316</t>
  </si>
  <si>
    <t>Pudefirana</t>
  </si>
  <si>
    <t>H374H511</t>
  </si>
  <si>
    <t>Fetivegupi</t>
  </si>
  <si>
    <t>P272P523</t>
  </si>
  <si>
    <t>Reletu</t>
  </si>
  <si>
    <t>H562P619</t>
  </si>
  <si>
    <t>Pilorune</t>
  </si>
  <si>
    <t>H759H792</t>
  </si>
  <si>
    <t>Teletu</t>
  </si>
  <si>
    <t>H593P938</t>
  </si>
  <si>
    <t>Nomutivi</t>
  </si>
  <si>
    <t>P354H777</t>
  </si>
  <si>
    <t>Gavonovu</t>
  </si>
  <si>
    <t>P578P573</t>
  </si>
  <si>
    <t>Gopapopi</t>
  </si>
  <si>
    <t>H171P491</t>
  </si>
  <si>
    <t>Tefepeta</t>
  </si>
  <si>
    <t>P427H392</t>
  </si>
  <si>
    <t>Tudoropo</t>
  </si>
  <si>
    <t>H448H437</t>
  </si>
  <si>
    <t>Noterofelo</t>
  </si>
  <si>
    <t>H324P677</t>
  </si>
  <si>
    <t>Pivuvamo</t>
  </si>
  <si>
    <t>P894P936</t>
  </si>
  <si>
    <t>Lapogupo</t>
  </si>
  <si>
    <t>H326H342</t>
  </si>
  <si>
    <t>Papolaco</t>
  </si>
  <si>
    <t>H432P932</t>
  </si>
  <si>
    <t>Petuva</t>
  </si>
  <si>
    <t>H586H485</t>
  </si>
  <si>
    <t>Mugerogupo</t>
  </si>
  <si>
    <t>H783P394</t>
  </si>
  <si>
    <t>Vedegila</t>
  </si>
  <si>
    <t>H285H195</t>
  </si>
  <si>
    <t>Rageta</t>
  </si>
  <si>
    <t>P754H393</t>
  </si>
  <si>
    <t>Feruto</t>
  </si>
  <si>
    <t>P292H228</t>
  </si>
  <si>
    <t>Vinitapa</t>
  </si>
  <si>
    <t>P138P963</t>
  </si>
  <si>
    <t>Pupupo</t>
  </si>
  <si>
    <t>P557P284</t>
  </si>
  <si>
    <t>Rerafireru</t>
  </si>
  <si>
    <t>H675H746</t>
  </si>
  <si>
    <t>Tometo</t>
  </si>
  <si>
    <t>P629P968</t>
  </si>
  <si>
    <t>Nuparufacu</t>
  </si>
  <si>
    <t>P622H499</t>
  </si>
  <si>
    <t>Rivicotu</t>
  </si>
  <si>
    <t>P618P969</t>
  </si>
  <si>
    <t>Mepavugupa</t>
  </si>
  <si>
    <t>P431P875</t>
  </si>
  <si>
    <t>Piripiroco</t>
  </si>
  <si>
    <t>P354H427</t>
  </si>
  <si>
    <t>Femelanapo</t>
  </si>
  <si>
    <t>H163P689</t>
  </si>
  <si>
    <t>Pimarofu</t>
  </si>
  <si>
    <t>P825P235</t>
  </si>
  <si>
    <t>Camoda</t>
  </si>
  <si>
    <t>H463P393</t>
  </si>
  <si>
    <t>Regapori</t>
  </si>
  <si>
    <t>H115H546</t>
  </si>
  <si>
    <t>Cuveve</t>
  </si>
  <si>
    <t>H388H285</t>
  </si>
  <si>
    <t>Neludutamo</t>
  </si>
  <si>
    <t>H239P471</t>
  </si>
  <si>
    <t>Virope</t>
  </si>
  <si>
    <t>P859P477</t>
  </si>
  <si>
    <t>Virapoliro</t>
  </si>
  <si>
    <t>H447P843</t>
  </si>
  <si>
    <t>Rovufunemu</t>
  </si>
  <si>
    <t>H627P172</t>
  </si>
  <si>
    <t>Nagomu</t>
  </si>
  <si>
    <t>H897P623</t>
  </si>
  <si>
    <t>Cutura</t>
  </si>
  <si>
    <t>H227P789</t>
  </si>
  <si>
    <t>Locaco</t>
  </si>
  <si>
    <t>P487P391</t>
  </si>
  <si>
    <t>Pepefadoto</t>
  </si>
  <si>
    <t>H646H874</t>
  </si>
  <si>
    <t>Riretavuve</t>
  </si>
  <si>
    <t>H678H478</t>
  </si>
  <si>
    <t>Papupare</t>
  </si>
  <si>
    <t>P917H765</t>
  </si>
  <si>
    <t>Pipifelale</t>
  </si>
  <si>
    <t>P794H483</t>
  </si>
  <si>
    <t>Malica</t>
  </si>
  <si>
    <t>P828P174</t>
  </si>
  <si>
    <t>Lumalamu</t>
  </si>
  <si>
    <t>P769P827</t>
  </si>
  <si>
    <t>Cudeturotu</t>
  </si>
  <si>
    <t>P652P664</t>
  </si>
  <si>
    <t>Fegota</t>
  </si>
  <si>
    <t>P742H469</t>
  </si>
  <si>
    <t>Faruditale</t>
  </si>
  <si>
    <t>H134H629</t>
  </si>
  <si>
    <t>Mevudufagu</t>
  </si>
  <si>
    <t>H662H697</t>
  </si>
  <si>
    <t>Pudimevato</t>
  </si>
  <si>
    <t>P976P227</t>
  </si>
  <si>
    <t>Tofapapa</t>
  </si>
  <si>
    <t>H966H473</t>
  </si>
  <si>
    <t>Tolamupo</t>
  </si>
  <si>
    <t>H441P452</t>
  </si>
  <si>
    <t>Penalipupu</t>
  </si>
  <si>
    <t>H993P574</t>
  </si>
  <si>
    <t>Copoge</t>
  </si>
  <si>
    <t>H114H666</t>
  </si>
  <si>
    <t>Pilatiti</t>
  </si>
  <si>
    <t>H342P771</t>
  </si>
  <si>
    <t>Nurepi</t>
  </si>
  <si>
    <t>H131H315</t>
  </si>
  <si>
    <t>Patarono</t>
  </si>
  <si>
    <t>P439H177</t>
  </si>
  <si>
    <t>Ridicate</t>
  </si>
  <si>
    <t>H634H655</t>
  </si>
  <si>
    <t>Licepato</t>
  </si>
  <si>
    <t>H933H626</t>
  </si>
  <si>
    <t>Gicatida</t>
  </si>
  <si>
    <t>H624P368</t>
  </si>
  <si>
    <t>Pigulicu</t>
  </si>
  <si>
    <t>H437H944</t>
  </si>
  <si>
    <t>Davepi</t>
  </si>
  <si>
    <t>H391P582</t>
  </si>
  <si>
    <t>Papava</t>
  </si>
  <si>
    <t>P291P499</t>
  </si>
  <si>
    <t>Rupetu</t>
  </si>
  <si>
    <t>P737H371</t>
  </si>
  <si>
    <t>Gemomufuta</t>
  </si>
  <si>
    <t>H348P175</t>
  </si>
  <si>
    <t>Nupinida</t>
  </si>
  <si>
    <t>P553P592</t>
  </si>
  <si>
    <t>Cerege</t>
  </si>
  <si>
    <t>P891H829</t>
  </si>
  <si>
    <t>Docimepepo</t>
  </si>
  <si>
    <t>P276P477</t>
  </si>
  <si>
    <t>Turecoruru</t>
  </si>
  <si>
    <t>P987P619</t>
  </si>
  <si>
    <t>Ropucamedo</t>
  </si>
  <si>
    <t>H388P257</t>
  </si>
  <si>
    <t>Murelerupe</t>
  </si>
  <si>
    <t>P229H671</t>
  </si>
  <si>
    <t>Vutane</t>
  </si>
  <si>
    <t>H942P165</t>
  </si>
  <si>
    <t>Dotedu</t>
  </si>
  <si>
    <t>P982P962</t>
  </si>
  <si>
    <t>Vatuce</t>
  </si>
  <si>
    <t>H494H796</t>
  </si>
  <si>
    <t>Rigugofa</t>
  </si>
  <si>
    <t>H526H545</t>
  </si>
  <si>
    <t>Cutite</t>
  </si>
  <si>
    <t>P274P255</t>
  </si>
  <si>
    <t>Tirupa</t>
  </si>
  <si>
    <t>P385P845</t>
  </si>
  <si>
    <t>Ricipo</t>
  </si>
  <si>
    <t>P791P945</t>
  </si>
  <si>
    <t>Dacuculatu</t>
  </si>
  <si>
    <t>P971H971</t>
  </si>
  <si>
    <t>Cetavuci</t>
  </si>
  <si>
    <t>H462H814</t>
  </si>
  <si>
    <t>Lepugace</t>
  </si>
  <si>
    <t>P594H813</t>
  </si>
  <si>
    <t>Nilapu</t>
  </si>
  <si>
    <t>P814P361</t>
  </si>
  <si>
    <t>Lulora</t>
  </si>
  <si>
    <t>H585P621</t>
  </si>
  <si>
    <t>Lopucu</t>
  </si>
  <si>
    <t>H163H833</t>
  </si>
  <si>
    <t>Dutumero</t>
  </si>
  <si>
    <t>P818H791</t>
  </si>
  <si>
    <t>Darido</t>
  </si>
  <si>
    <t>P516P163</t>
  </si>
  <si>
    <t>Ritucona</t>
  </si>
  <si>
    <t>P612P581</t>
  </si>
  <si>
    <t>Vupoge</t>
  </si>
  <si>
    <t>H528P795</t>
  </si>
  <si>
    <t>Pirenadu</t>
  </si>
  <si>
    <t>P151P862</t>
  </si>
  <si>
    <t>Tugotumote</t>
  </si>
  <si>
    <t>P384H653</t>
  </si>
  <si>
    <t>Gilorevi</t>
  </si>
  <si>
    <t>H471H144</t>
  </si>
  <si>
    <t>Raremo</t>
  </si>
  <si>
    <t>H625H239</t>
  </si>
  <si>
    <t>Ciropororo</t>
  </si>
  <si>
    <t>H468P587</t>
  </si>
  <si>
    <t>Pucaparevo</t>
  </si>
  <si>
    <t>P672P215</t>
  </si>
  <si>
    <t>Purarufuci</t>
  </si>
  <si>
    <t>H462H564</t>
  </si>
  <si>
    <t>Vicolaraga</t>
  </si>
  <si>
    <t>P972H556</t>
  </si>
  <si>
    <t>Tefatemovu</t>
  </si>
  <si>
    <t>P258P219</t>
  </si>
  <si>
    <t>Cumutu</t>
  </si>
  <si>
    <t>H825H631</t>
  </si>
  <si>
    <t>Curalidemo</t>
  </si>
  <si>
    <t>H272P812</t>
  </si>
  <si>
    <t>Cocurafo</t>
  </si>
  <si>
    <t>P132H196</t>
  </si>
  <si>
    <t>Tedireculu</t>
  </si>
  <si>
    <t>H541H189</t>
  </si>
  <si>
    <t>Putopuco</t>
  </si>
  <si>
    <t>H125H165</t>
  </si>
  <si>
    <t>Porevudi</t>
  </si>
  <si>
    <t>H353P715</t>
  </si>
  <si>
    <t>Leramape</t>
  </si>
  <si>
    <t>H164P573</t>
  </si>
  <si>
    <t>Detureropo</t>
  </si>
  <si>
    <t>H836H952</t>
  </si>
  <si>
    <t>Vonipucu</t>
  </si>
  <si>
    <t>H662P914</t>
  </si>
  <si>
    <t>Filevi</t>
  </si>
  <si>
    <t>P877P816</t>
  </si>
  <si>
    <t>Capoli</t>
  </si>
  <si>
    <t>H554H172</t>
  </si>
  <si>
    <t>Pumegota</t>
  </si>
  <si>
    <t>H652H135</t>
  </si>
  <si>
    <t>Tagepufipo</t>
  </si>
  <si>
    <t>H778P884</t>
  </si>
  <si>
    <t>Fumipoci</t>
  </si>
  <si>
    <t>H967H299</t>
  </si>
  <si>
    <t>Curonepane</t>
  </si>
  <si>
    <t>P959P139</t>
  </si>
  <si>
    <t>Pitecu</t>
  </si>
  <si>
    <t>P791P946</t>
  </si>
  <si>
    <t>Fucote</t>
  </si>
  <si>
    <t>H112H582</t>
  </si>
  <si>
    <t>Renapo</t>
  </si>
  <si>
    <t>H527P195</t>
  </si>
  <si>
    <t>Pepopi</t>
  </si>
  <si>
    <t>H839P325</t>
  </si>
  <si>
    <t>Rafolapare</t>
  </si>
  <si>
    <t>H954H616</t>
  </si>
  <si>
    <t>Mopolime</t>
  </si>
  <si>
    <t>H268H158</t>
  </si>
  <si>
    <t>Tareta</t>
  </si>
  <si>
    <t>P177H514</t>
  </si>
  <si>
    <t>Getoma</t>
  </si>
  <si>
    <t>P453P445</t>
  </si>
  <si>
    <t>Rititi</t>
  </si>
  <si>
    <t>P683P192</t>
  </si>
  <si>
    <t>Murenu</t>
  </si>
  <si>
    <t>P311H427</t>
  </si>
  <si>
    <t>Petitode</t>
  </si>
  <si>
    <t>H119P473</t>
  </si>
  <si>
    <t>Gupolerara</t>
  </si>
  <si>
    <t>P871H723</t>
  </si>
  <si>
    <t>Pacofapipe</t>
  </si>
  <si>
    <t>H574P162</t>
  </si>
  <si>
    <t>Tututacega</t>
  </si>
  <si>
    <t>P255H339</t>
  </si>
  <si>
    <t>Potirula</t>
  </si>
  <si>
    <t>P857P287</t>
  </si>
  <si>
    <t>Vavafito</t>
  </si>
  <si>
    <t>P555P732</t>
  </si>
  <si>
    <t>Mocumi</t>
  </si>
  <si>
    <t>P516P737</t>
  </si>
  <si>
    <t>Fipipi</t>
  </si>
  <si>
    <t>P513P826</t>
  </si>
  <si>
    <t>Darireli</t>
  </si>
  <si>
    <t>P681H121</t>
  </si>
  <si>
    <t>Porele</t>
  </si>
  <si>
    <t>P893P114</t>
  </si>
  <si>
    <t>Riramofave</t>
  </si>
  <si>
    <t>H911H823</t>
  </si>
  <si>
    <t>Teramopeli</t>
  </si>
  <si>
    <t>H734H176</t>
  </si>
  <si>
    <t>Cimetuli</t>
  </si>
  <si>
    <t>P531P354</t>
  </si>
  <si>
    <t>Lecalarace</t>
  </si>
  <si>
    <t>H255H568</t>
  </si>
  <si>
    <t>Goteveto</t>
  </si>
  <si>
    <t>P413H738</t>
  </si>
  <si>
    <t>Colipodi</t>
  </si>
  <si>
    <t>H523P426</t>
  </si>
  <si>
    <t>Fitogoma</t>
  </si>
  <si>
    <t>P425P982</t>
  </si>
  <si>
    <t>Rafuvate</t>
  </si>
  <si>
    <t>P139P229</t>
  </si>
  <si>
    <t>Lurage</t>
  </si>
  <si>
    <t>P315P332</t>
  </si>
  <si>
    <t>Pavudoga</t>
  </si>
  <si>
    <t>P345P867</t>
  </si>
  <si>
    <t>Fevipi</t>
  </si>
  <si>
    <t>P297H563</t>
  </si>
  <si>
    <t>Tipolule</t>
  </si>
  <si>
    <t>P722P683</t>
  </si>
  <si>
    <t>Dicirera</t>
  </si>
  <si>
    <t>H762P763</t>
  </si>
  <si>
    <t>Roniti</t>
  </si>
  <si>
    <t>H652H422</t>
  </si>
  <si>
    <t>Cerace</t>
  </si>
  <si>
    <t>P564P771</t>
  </si>
  <si>
    <t>Lurumicige</t>
  </si>
  <si>
    <t>H932H584</t>
  </si>
  <si>
    <t>Porimiloto</t>
  </si>
  <si>
    <t>P941P799</t>
  </si>
  <si>
    <t>Rapita</t>
  </si>
  <si>
    <t>P923P688</t>
  </si>
  <si>
    <t>Rapuda</t>
  </si>
  <si>
    <t>P374H844</t>
  </si>
  <si>
    <t>Vapotudi</t>
  </si>
  <si>
    <t>P716H775</t>
  </si>
  <si>
    <t>Pudepa</t>
  </si>
  <si>
    <t>H586H551</t>
  </si>
  <si>
    <t>Ritomipevu</t>
  </si>
  <si>
    <t>P511P556</t>
  </si>
  <si>
    <t>Fatapa</t>
  </si>
  <si>
    <t>H441H382</t>
  </si>
  <si>
    <t>Popirapapa</t>
  </si>
  <si>
    <t>P664P194</t>
  </si>
  <si>
    <t>Pefoduro</t>
  </si>
  <si>
    <t>P711P332</t>
  </si>
  <si>
    <t>Rorecotodo</t>
  </si>
  <si>
    <t>P462P714</t>
  </si>
  <si>
    <t>Tafocecera</t>
  </si>
  <si>
    <t>H128P441</t>
  </si>
  <si>
    <t>Pepacatiru</t>
  </si>
  <si>
    <t>P765P425</t>
  </si>
  <si>
    <t>Mapidegilu</t>
  </si>
  <si>
    <t>H597P374</t>
  </si>
  <si>
    <t>Mapuripopa</t>
  </si>
  <si>
    <t>P161P896</t>
  </si>
  <si>
    <t>Rovori</t>
  </si>
  <si>
    <t>P918H812</t>
  </si>
  <si>
    <t>Tuparugo</t>
  </si>
  <si>
    <t>H789H764</t>
  </si>
  <si>
    <t>Todogapi</t>
  </si>
  <si>
    <t>H433P157</t>
  </si>
  <si>
    <t>Ropofufo</t>
  </si>
  <si>
    <t>P633P433</t>
  </si>
  <si>
    <t>Gefure</t>
  </si>
  <si>
    <t>H645H617</t>
  </si>
  <si>
    <t>Peruturo</t>
  </si>
  <si>
    <t>H466H829</t>
  </si>
  <si>
    <t>Tevetu</t>
  </si>
  <si>
    <t>H384H796</t>
  </si>
  <si>
    <t>Dilifofuvo</t>
  </si>
  <si>
    <t>P356H585</t>
  </si>
  <si>
    <t>Povipice</t>
  </si>
  <si>
    <t>H581H729</t>
  </si>
  <si>
    <t>Garapemu</t>
  </si>
  <si>
    <t>P623P391</t>
  </si>
  <si>
    <t>Numenonori</t>
  </si>
  <si>
    <t>P886P756</t>
  </si>
  <si>
    <t>Roduta</t>
  </si>
  <si>
    <t>H448P296</t>
  </si>
  <si>
    <t>Cepirumida</t>
  </si>
  <si>
    <t>H958P391</t>
  </si>
  <si>
    <t>Pacolaripo</t>
  </si>
  <si>
    <t>P862H553</t>
  </si>
  <si>
    <t>Titupe</t>
  </si>
  <si>
    <t>H913H135</t>
  </si>
  <si>
    <t>Rucivira</t>
  </si>
  <si>
    <t>H667H838</t>
  </si>
  <si>
    <t>Dupeduva</t>
  </si>
  <si>
    <t>H614P988</t>
  </si>
  <si>
    <t>Cetame</t>
  </si>
  <si>
    <t>P187H652</t>
  </si>
  <si>
    <t>Dupafapide</t>
  </si>
  <si>
    <t>H466H767</t>
  </si>
  <si>
    <t>Padula</t>
  </si>
  <si>
    <t>P932H516</t>
  </si>
  <si>
    <t>Megafovitu</t>
  </si>
  <si>
    <t>P255H476</t>
  </si>
  <si>
    <t>Lagitura</t>
  </si>
  <si>
    <t>H622H189</t>
  </si>
  <si>
    <t>Rapoma</t>
  </si>
  <si>
    <t>H763P748</t>
  </si>
  <si>
    <t>Rucucapefi</t>
  </si>
  <si>
    <t>H196P827</t>
  </si>
  <si>
    <t>Dunora</t>
  </si>
  <si>
    <t>H878H725</t>
  </si>
  <si>
    <t>Mumupi</t>
  </si>
  <si>
    <t>P148H775</t>
  </si>
  <si>
    <t>Papumuta</t>
  </si>
  <si>
    <t>H939P638</t>
  </si>
  <si>
    <t>Porepore</t>
  </si>
  <si>
    <t>P873P382</t>
  </si>
  <si>
    <t>Merefetufu</t>
  </si>
  <si>
    <t>H693H958</t>
  </si>
  <si>
    <t>Ricupe</t>
  </si>
  <si>
    <t>H499P842</t>
  </si>
  <si>
    <t>Colitidita</t>
  </si>
  <si>
    <t>H861P168</t>
  </si>
  <si>
    <t>Ricepuge</t>
  </si>
  <si>
    <t>P765P933</t>
  </si>
  <si>
    <t>Latitapatu</t>
  </si>
  <si>
    <t>H967H689</t>
  </si>
  <si>
    <t>Fudori</t>
  </si>
  <si>
    <t>P462P933</t>
  </si>
  <si>
    <t>Lafapilo</t>
  </si>
  <si>
    <t>H187P531</t>
  </si>
  <si>
    <t>Tupega</t>
  </si>
  <si>
    <t>H172P272</t>
  </si>
  <si>
    <t>Paputiga</t>
  </si>
  <si>
    <t>P716P743</t>
  </si>
  <si>
    <t>Fetena</t>
  </si>
  <si>
    <t>H833P964</t>
  </si>
  <si>
    <t>Camamu</t>
  </si>
  <si>
    <t>H318H824</t>
  </si>
  <si>
    <t>Fetano</t>
  </si>
  <si>
    <t>P746P796</t>
  </si>
  <si>
    <t>Lamatutuge</t>
  </si>
  <si>
    <t>P997H739</t>
  </si>
  <si>
    <t>Nirudi</t>
  </si>
  <si>
    <t>P194P449</t>
  </si>
  <si>
    <t>Rofeda</t>
  </si>
  <si>
    <t>P993P662</t>
  </si>
  <si>
    <t>Vacemi</t>
  </si>
  <si>
    <t>H532P759</t>
  </si>
  <si>
    <t>Guvapepu</t>
  </si>
  <si>
    <t>H637P327</t>
  </si>
  <si>
    <t>Narufima</t>
  </si>
  <si>
    <t>H922P488</t>
  </si>
  <si>
    <t>Gilatodefo</t>
  </si>
  <si>
    <t>H522H664</t>
  </si>
  <si>
    <t>Gatapi</t>
  </si>
  <si>
    <t>P462H975</t>
  </si>
  <si>
    <t>Damopo</t>
  </si>
  <si>
    <t>H475P216</t>
  </si>
  <si>
    <t>Pepegucono</t>
  </si>
  <si>
    <t>H763P383</t>
  </si>
  <si>
    <t>Nituto</t>
  </si>
  <si>
    <t>H594H363</t>
  </si>
  <si>
    <t>Duraparu</t>
  </si>
  <si>
    <t>H525H335</t>
  </si>
  <si>
    <t>Paredeca</t>
  </si>
  <si>
    <t>H278P876</t>
  </si>
  <si>
    <t>Nilinipiru</t>
  </si>
  <si>
    <t>P153P638</t>
  </si>
  <si>
    <t>Ludatu</t>
  </si>
  <si>
    <t>H612H211</t>
  </si>
  <si>
    <t>Vovori</t>
  </si>
  <si>
    <t>P234P845</t>
  </si>
  <si>
    <t>Garifa</t>
  </si>
  <si>
    <t>P966P221</t>
  </si>
  <si>
    <t>Corire</t>
  </si>
  <si>
    <t>P769H671</t>
  </si>
  <si>
    <t>Gogugaputo</t>
  </si>
  <si>
    <t>P688H382</t>
  </si>
  <si>
    <t>Gucelulu</t>
  </si>
  <si>
    <t>P515P875</t>
  </si>
  <si>
    <t>Vepata</t>
  </si>
  <si>
    <t>P126H231</t>
  </si>
  <si>
    <t>Micitogufa</t>
  </si>
  <si>
    <t>H212H255</t>
  </si>
  <si>
    <t>Gilulura</t>
  </si>
  <si>
    <t>H879H181</t>
  </si>
  <si>
    <t>Taracecu</t>
  </si>
  <si>
    <t>H311H213</t>
  </si>
  <si>
    <t>Putepade</t>
  </si>
  <si>
    <t>P212H453</t>
  </si>
  <si>
    <t>Vutipo</t>
  </si>
  <si>
    <t>H522P259</t>
  </si>
  <si>
    <t>Dupapi</t>
  </si>
  <si>
    <t>H528P561</t>
  </si>
  <si>
    <t>Patelopumi</t>
  </si>
  <si>
    <t>P918P663</t>
  </si>
  <si>
    <t>Dolepivero</t>
  </si>
  <si>
    <t>H369P383</t>
  </si>
  <si>
    <t>Tepocavipu</t>
  </si>
  <si>
    <t>P644H816</t>
  </si>
  <si>
    <t>Teterifipa</t>
  </si>
  <si>
    <t>P876H266</t>
  </si>
  <si>
    <t>Toledapira</t>
  </si>
  <si>
    <t>H817P115</t>
  </si>
  <si>
    <t>Vimugodi</t>
  </si>
  <si>
    <t>H462H842</t>
  </si>
  <si>
    <t>Ritili</t>
  </si>
  <si>
    <t>H267P579</t>
  </si>
  <si>
    <t>Nemevigifo</t>
  </si>
  <si>
    <t>H551H251</t>
  </si>
  <si>
    <t>Tapupenu</t>
  </si>
  <si>
    <t>P362P425</t>
  </si>
  <si>
    <t>Litepi</t>
  </si>
  <si>
    <t>H132P727</t>
  </si>
  <si>
    <t>Repolodoti</t>
  </si>
  <si>
    <t>P453H342</t>
  </si>
  <si>
    <t>Pidepudu</t>
  </si>
  <si>
    <t>P849H847</t>
  </si>
  <si>
    <t>Luvanade</t>
  </si>
  <si>
    <t>H644H547</t>
  </si>
  <si>
    <t>Purenu</t>
  </si>
  <si>
    <t>H944P315</t>
  </si>
  <si>
    <t>Popacupulo</t>
  </si>
  <si>
    <t>P592P198</t>
  </si>
  <si>
    <t>Vedumararo</t>
  </si>
  <si>
    <t>P935H546</t>
  </si>
  <si>
    <t>Tidora</t>
  </si>
  <si>
    <t>H171H739</t>
  </si>
  <si>
    <t>Putipepala</t>
  </si>
  <si>
    <t>P121P983</t>
  </si>
  <si>
    <t>Nivapi</t>
  </si>
  <si>
    <t>H488H873</t>
  </si>
  <si>
    <t>Pemodu</t>
  </si>
  <si>
    <t>H534P262</t>
  </si>
  <si>
    <t>Fapofuge</t>
  </si>
  <si>
    <t>H822H177</t>
  </si>
  <si>
    <t>Vadepana</t>
  </si>
  <si>
    <t>H373P755</t>
  </si>
  <si>
    <t>Riraponi</t>
  </si>
  <si>
    <t>H689H292</t>
  </si>
  <si>
    <t>Mupupopo</t>
  </si>
  <si>
    <t>H459P593</t>
  </si>
  <si>
    <t>Popepu</t>
  </si>
  <si>
    <t>P459H176</t>
  </si>
  <si>
    <t>Rurutopi</t>
  </si>
  <si>
    <t>P375P884</t>
  </si>
  <si>
    <t>Pifofugepa</t>
  </si>
  <si>
    <t>H525P646</t>
  </si>
  <si>
    <t>Romuda</t>
  </si>
  <si>
    <t>P677H271</t>
  </si>
  <si>
    <t>Milipefe</t>
  </si>
  <si>
    <t>P826P297</t>
  </si>
  <si>
    <t>Poderifa</t>
  </si>
  <si>
    <t>H124P759</t>
  </si>
  <si>
    <t>Rotatu</t>
  </si>
  <si>
    <t>H537P989</t>
  </si>
  <si>
    <t>Rulirapoti</t>
  </si>
  <si>
    <t>H425H154</t>
  </si>
  <si>
    <t>Fofepo</t>
  </si>
  <si>
    <t>P256H916</t>
  </si>
  <si>
    <t>Ganuvagi</t>
  </si>
  <si>
    <t>H627P786</t>
  </si>
  <si>
    <t>Livomifapa</t>
  </si>
  <si>
    <t>P911H215</t>
  </si>
  <si>
    <t>Pipafene</t>
  </si>
  <si>
    <t>H368H282</t>
  </si>
  <si>
    <t>Geruto</t>
  </si>
  <si>
    <t>P952H265</t>
  </si>
  <si>
    <t>Cinecora</t>
  </si>
  <si>
    <t>P935H547</t>
  </si>
  <si>
    <t>Mimura</t>
  </si>
  <si>
    <t>P711H943</t>
  </si>
  <si>
    <t>Tavepuna</t>
  </si>
  <si>
    <t>P368H371</t>
  </si>
  <si>
    <t>Mirote</t>
  </si>
  <si>
    <t>P714P947</t>
  </si>
  <si>
    <t>Roretefalo</t>
  </si>
  <si>
    <t>P496P353</t>
  </si>
  <si>
    <t>Cidico</t>
  </si>
  <si>
    <t>P623H564</t>
  </si>
  <si>
    <t>Menomi</t>
  </si>
  <si>
    <t>H748H739</t>
  </si>
  <si>
    <t>Dememitovo</t>
  </si>
  <si>
    <t>H617H543</t>
  </si>
  <si>
    <t>Ludipodedu</t>
  </si>
  <si>
    <t>P116H876</t>
  </si>
  <si>
    <t>Pelopepe</t>
  </si>
  <si>
    <t>H129P156</t>
  </si>
  <si>
    <t>Fotapurifi</t>
  </si>
  <si>
    <t>P499H157</t>
  </si>
  <si>
    <t>Paruvege</t>
  </si>
  <si>
    <t>P141H731</t>
  </si>
  <si>
    <t>Rumito</t>
  </si>
  <si>
    <t>P116H392</t>
  </si>
  <si>
    <t>Ravodopalo</t>
  </si>
  <si>
    <t>P341P655</t>
  </si>
  <si>
    <t>Tipedoce</t>
  </si>
  <si>
    <t>H468H474</t>
  </si>
  <si>
    <t>Tetapa</t>
  </si>
  <si>
    <t>H487P824</t>
  </si>
  <si>
    <t>Rururuci</t>
  </si>
  <si>
    <t>P522P188</t>
  </si>
  <si>
    <t>Varanoga</t>
  </si>
  <si>
    <t>H127H198</t>
  </si>
  <si>
    <t>Pagepopudo</t>
  </si>
  <si>
    <t>P127H351</t>
  </si>
  <si>
    <t>Diguvo</t>
  </si>
  <si>
    <t>H851P298</t>
  </si>
  <si>
    <t>Mifica</t>
  </si>
  <si>
    <t>H895H343</t>
  </si>
  <si>
    <t>Ramegivetu</t>
  </si>
  <si>
    <t>P684H355</t>
  </si>
  <si>
    <t>Depuladecu</t>
  </si>
  <si>
    <t>H241P647</t>
  </si>
  <si>
    <t>Lamugi</t>
  </si>
  <si>
    <t>H254P176</t>
  </si>
  <si>
    <t>Vivecurelu</t>
  </si>
  <si>
    <t>P628H144</t>
  </si>
  <si>
    <t>Mecarigadi</t>
  </si>
  <si>
    <t>P865H968</t>
  </si>
  <si>
    <t>Panocuvifo</t>
  </si>
  <si>
    <t>H547P384</t>
  </si>
  <si>
    <t>Topicepe</t>
  </si>
  <si>
    <t>H944P794</t>
  </si>
  <si>
    <t>Fopipanupi</t>
  </si>
  <si>
    <t>P227H823</t>
  </si>
  <si>
    <t>Cadonimuda</t>
  </si>
  <si>
    <t>H393H831</t>
  </si>
  <si>
    <t>Fipulepapa</t>
  </si>
  <si>
    <t>H412H122</t>
  </si>
  <si>
    <t>Rarinetoro</t>
  </si>
  <si>
    <t>H172P866</t>
  </si>
  <si>
    <t>Nipopedufo</t>
  </si>
  <si>
    <t>P711H232</t>
  </si>
  <si>
    <t>Detape</t>
  </si>
  <si>
    <t>H322P569</t>
  </si>
  <si>
    <t>Focovino</t>
  </si>
  <si>
    <t>H956H243</t>
  </si>
  <si>
    <t>Lupifo</t>
  </si>
  <si>
    <t>H181P867</t>
  </si>
  <si>
    <t>Pepegitoco</t>
  </si>
  <si>
    <t>P528H755</t>
  </si>
  <si>
    <t>Fufaci</t>
  </si>
  <si>
    <t>P513P598</t>
  </si>
  <si>
    <t>Vefotora</t>
  </si>
  <si>
    <t>H129P544</t>
  </si>
  <si>
    <t>Rovamu</t>
  </si>
  <si>
    <t>H739H698</t>
  </si>
  <si>
    <t>Tilupuga</t>
  </si>
  <si>
    <t>P662P242</t>
  </si>
  <si>
    <t>Taputo</t>
  </si>
  <si>
    <t>P838P613</t>
  </si>
  <si>
    <t>Nimepu</t>
  </si>
  <si>
    <t>P871H819</t>
  </si>
  <si>
    <t>Dolite</t>
  </si>
  <si>
    <t>H755H977</t>
  </si>
  <si>
    <t>Feritito</t>
  </si>
  <si>
    <t>H139P678</t>
  </si>
  <si>
    <t>Niperidono</t>
  </si>
  <si>
    <t>H823P178</t>
  </si>
  <si>
    <t>Rocapu</t>
  </si>
  <si>
    <t>H633H839</t>
  </si>
  <si>
    <t>Romagepira</t>
  </si>
  <si>
    <t>P464P755</t>
  </si>
  <si>
    <t>Popufi</t>
  </si>
  <si>
    <t>P112H264</t>
  </si>
  <si>
    <t>Tumupelo</t>
  </si>
  <si>
    <t>H277H676</t>
  </si>
  <si>
    <t>Donategavu</t>
  </si>
  <si>
    <t>P617P357</t>
  </si>
  <si>
    <t>Faragute</t>
  </si>
  <si>
    <t>P515H252</t>
  </si>
  <si>
    <t>Cipinara</t>
  </si>
  <si>
    <t>P237P595</t>
  </si>
  <si>
    <t>Pogagora</t>
  </si>
  <si>
    <t>P537H546</t>
  </si>
  <si>
    <t>Mopumigi</t>
  </si>
  <si>
    <t>H534P699</t>
  </si>
  <si>
    <t>Medumipida</t>
  </si>
  <si>
    <t>H468P426</t>
  </si>
  <si>
    <t>Maloro</t>
  </si>
  <si>
    <t>P898P571</t>
  </si>
  <si>
    <t>Potefi</t>
  </si>
  <si>
    <t>P486H615</t>
  </si>
  <si>
    <t>Toticica</t>
  </si>
  <si>
    <t>P831P966</t>
  </si>
  <si>
    <t>Gaveperugo</t>
  </si>
  <si>
    <t>H357H413</t>
  </si>
  <si>
    <t>Tetevovuda</t>
  </si>
  <si>
    <t>H491P436</t>
  </si>
  <si>
    <t>Cececupato</t>
  </si>
  <si>
    <t>H845P575</t>
  </si>
  <si>
    <t>Popadalupe</t>
  </si>
  <si>
    <t>P755H892</t>
  </si>
  <si>
    <t>Potivupici</t>
  </si>
  <si>
    <t>P192P296</t>
  </si>
  <si>
    <t>Gutemu</t>
  </si>
  <si>
    <t>H971P645</t>
  </si>
  <si>
    <t>Peguturece</t>
  </si>
  <si>
    <t>H473P115</t>
  </si>
  <si>
    <t>Rapelupara</t>
  </si>
  <si>
    <t>P386P654</t>
  </si>
  <si>
    <t>Puditunaci</t>
  </si>
  <si>
    <t>P639H841</t>
  </si>
  <si>
    <t>Cepopume</t>
  </si>
  <si>
    <t>H274H582</t>
  </si>
  <si>
    <t>Cecaravepu</t>
  </si>
  <si>
    <t>H199H296</t>
  </si>
  <si>
    <t>Nenerucu</t>
  </si>
  <si>
    <t>H973H576</t>
  </si>
  <si>
    <t>Rulotoro</t>
  </si>
  <si>
    <t>P829H916</t>
  </si>
  <si>
    <t>Riteto</t>
  </si>
  <si>
    <t>H968H295</t>
  </si>
  <si>
    <t>Tapipa</t>
  </si>
  <si>
    <t>P782H188</t>
  </si>
  <si>
    <t>Fomucatofi</t>
  </si>
  <si>
    <t>H758H955</t>
  </si>
  <si>
    <t>Micupu</t>
  </si>
  <si>
    <t>H914P311</t>
  </si>
  <si>
    <t>Culopapi</t>
  </si>
  <si>
    <t>P847P137</t>
  </si>
  <si>
    <t>Lopagiva</t>
  </si>
  <si>
    <t>H143P571</t>
  </si>
  <si>
    <t>Dunepa</t>
  </si>
  <si>
    <t>P538H835</t>
  </si>
  <si>
    <t>Nivonodu</t>
  </si>
  <si>
    <t>P944P193</t>
  </si>
  <si>
    <t>Rugonopuno</t>
  </si>
  <si>
    <t>H357H545</t>
  </si>
  <si>
    <t>Dopife</t>
  </si>
  <si>
    <t>P974P613</t>
  </si>
  <si>
    <t>Pinevucugi</t>
  </si>
  <si>
    <t>P551P619</t>
  </si>
  <si>
    <t>Ranapanana</t>
  </si>
  <si>
    <t>H881H851</t>
  </si>
  <si>
    <t>Vituga</t>
  </si>
  <si>
    <t>P794P978</t>
  </si>
  <si>
    <t>Fotenevido</t>
  </si>
  <si>
    <t>H112P529</t>
  </si>
  <si>
    <t>Mupapu</t>
  </si>
  <si>
    <t>P361H558</t>
  </si>
  <si>
    <t>Murotero</t>
  </si>
  <si>
    <t>P953H836</t>
  </si>
  <si>
    <t>Codocitoce</t>
  </si>
  <si>
    <t>H225P516</t>
  </si>
  <si>
    <t>Gunapu</t>
  </si>
  <si>
    <t>P392P581</t>
  </si>
  <si>
    <t>Renagipocu</t>
  </si>
  <si>
    <t>H954H575</t>
  </si>
  <si>
    <t>Caderipu</t>
  </si>
  <si>
    <t>H116H685</t>
  </si>
  <si>
    <t>Nidupuru</t>
  </si>
  <si>
    <t>P269P235</t>
  </si>
  <si>
    <t>Turedina</t>
  </si>
  <si>
    <t>P114H888</t>
  </si>
  <si>
    <t>Poruvoma</t>
  </si>
  <si>
    <t>P189P127</t>
  </si>
  <si>
    <t>Porapa</t>
  </si>
  <si>
    <t>H715P171</t>
  </si>
  <si>
    <t>Ratipa</t>
  </si>
  <si>
    <t>P983H239</t>
  </si>
  <si>
    <t>Teracuruca</t>
  </si>
  <si>
    <t>P249P441</t>
  </si>
  <si>
    <t>Rirapola</t>
  </si>
  <si>
    <t>H771H377</t>
  </si>
  <si>
    <t>Dopitope</t>
  </si>
  <si>
    <t>P616P319</t>
  </si>
  <si>
    <t>Coducipa</t>
  </si>
  <si>
    <t>H257P957</t>
  </si>
  <si>
    <t>Navimu</t>
  </si>
  <si>
    <t>P563H755</t>
  </si>
  <si>
    <t>Tivaru</t>
  </si>
  <si>
    <t>H688P619</t>
  </si>
  <si>
    <t>Farano</t>
  </si>
  <si>
    <t>P856P547</t>
  </si>
  <si>
    <t>Devefidivo</t>
  </si>
  <si>
    <t>H255H153</t>
  </si>
  <si>
    <t>Gumula</t>
  </si>
  <si>
    <t>H789P133</t>
  </si>
  <si>
    <t>Fitirulana</t>
  </si>
  <si>
    <t>H535H684</t>
  </si>
  <si>
    <t>Terutava</t>
  </si>
  <si>
    <t>H343P729</t>
  </si>
  <si>
    <t>Dotulu</t>
  </si>
  <si>
    <t>H837H784</t>
  </si>
  <si>
    <t>Devonipu</t>
  </si>
  <si>
    <t>P778P986</t>
  </si>
  <si>
    <t>Tanivimino</t>
  </si>
  <si>
    <t>H499H665</t>
  </si>
  <si>
    <t>Pemevacanu</t>
  </si>
  <si>
    <t>H623H753</t>
  </si>
  <si>
    <t>Pitaca</t>
  </si>
  <si>
    <t>P762P821</t>
  </si>
  <si>
    <t>Mavovici</t>
  </si>
  <si>
    <t>H882H156</t>
  </si>
  <si>
    <t>Ludomororo</t>
  </si>
  <si>
    <t>P166P976</t>
  </si>
  <si>
    <t>Dipumu</t>
  </si>
  <si>
    <t>H429P414</t>
  </si>
  <si>
    <t>Pepafelu</t>
  </si>
  <si>
    <t>H821H254</t>
  </si>
  <si>
    <t>Nacovilu</t>
  </si>
  <si>
    <t>H943P223</t>
  </si>
  <si>
    <t>Menuropate</t>
  </si>
  <si>
    <t>P286P527</t>
  </si>
  <si>
    <t>Dedudale</t>
  </si>
  <si>
    <t>P872P536</t>
  </si>
  <si>
    <t>Parutoparo</t>
  </si>
  <si>
    <t>H927P154</t>
  </si>
  <si>
    <t>Vofemufoco</t>
  </si>
  <si>
    <t>P452P523</t>
  </si>
  <si>
    <t>Tulaperigu</t>
  </si>
  <si>
    <t>H266H736</t>
  </si>
  <si>
    <t>Tupamudecu</t>
  </si>
  <si>
    <t>P773P377</t>
  </si>
  <si>
    <t>Docapo</t>
  </si>
  <si>
    <t>H512P662</t>
  </si>
  <si>
    <t>Rogefi</t>
  </si>
  <si>
    <t>H193P462</t>
  </si>
  <si>
    <t>Timeta</t>
  </si>
  <si>
    <t>H898H494</t>
  </si>
  <si>
    <t>Romireri</t>
  </si>
  <si>
    <t>H995P136</t>
  </si>
  <si>
    <t>Tamiperi</t>
  </si>
  <si>
    <t>P465H279</t>
  </si>
  <si>
    <t>Funufatopo</t>
  </si>
  <si>
    <t>P119H224</t>
  </si>
  <si>
    <t>Ratarupute</t>
  </si>
  <si>
    <t>P665H696</t>
  </si>
  <si>
    <t>Vererudapa</t>
  </si>
  <si>
    <t>H182H675</t>
  </si>
  <si>
    <t>Poverovopa</t>
  </si>
  <si>
    <t>P545P172</t>
  </si>
  <si>
    <t>Lararu</t>
  </si>
  <si>
    <t>P688P763</t>
  </si>
  <si>
    <t>Firefero</t>
  </si>
  <si>
    <t>P662P244</t>
  </si>
  <si>
    <t>Fiticivi</t>
  </si>
  <si>
    <t>P431P682</t>
  </si>
  <si>
    <t>Nupuvadu</t>
  </si>
  <si>
    <t>H489P939</t>
  </si>
  <si>
    <t>Repipepa</t>
  </si>
  <si>
    <t>P898H726</t>
  </si>
  <si>
    <t>Vumotuma</t>
  </si>
  <si>
    <t>P755P381</t>
  </si>
  <si>
    <t>Rotamorate</t>
  </si>
  <si>
    <t>P893P315</t>
  </si>
  <si>
    <t>Rocedu</t>
  </si>
  <si>
    <t>H567P719</t>
  </si>
  <si>
    <t>Cemalice</t>
  </si>
  <si>
    <t>P359P855</t>
  </si>
  <si>
    <t>Moridi</t>
  </si>
  <si>
    <t>P954H127</t>
  </si>
  <si>
    <t>Pevapida</t>
  </si>
  <si>
    <t>H688P366</t>
  </si>
  <si>
    <t>Gufata</t>
  </si>
  <si>
    <t>P218H437</t>
  </si>
  <si>
    <t>Vutedi</t>
  </si>
  <si>
    <t>H639P853</t>
  </si>
  <si>
    <t>Tocoti</t>
  </si>
  <si>
    <t>H775P482</t>
  </si>
  <si>
    <t>Rapedipamo</t>
  </si>
  <si>
    <t>P259H732</t>
  </si>
  <si>
    <t>Medupife</t>
  </si>
  <si>
    <t>P945H472</t>
  </si>
  <si>
    <t>Tatevopoti</t>
  </si>
  <si>
    <t>H469H292</t>
  </si>
  <si>
    <t>Mefepedupi</t>
  </si>
  <si>
    <t>H416H849</t>
  </si>
  <si>
    <t>Tucerutito</t>
  </si>
  <si>
    <t>P195P439</t>
  </si>
  <si>
    <t>Marevopova</t>
  </si>
  <si>
    <t>H429P374</t>
  </si>
  <si>
    <t>Voturo</t>
  </si>
  <si>
    <t>H764P199</t>
  </si>
  <si>
    <t>Penepate</t>
  </si>
  <si>
    <t>H727H199</t>
  </si>
  <si>
    <t>Ruteda</t>
  </si>
  <si>
    <t>H782P596</t>
  </si>
  <si>
    <t>Rafelerapi</t>
  </si>
  <si>
    <t>P797H275</t>
  </si>
  <si>
    <t>Cedepenumo</t>
  </si>
  <si>
    <t>P126P152</t>
  </si>
  <si>
    <t>Polatela</t>
  </si>
  <si>
    <t>H533P986</t>
  </si>
  <si>
    <t>Pepanigeta</t>
  </si>
  <si>
    <t>P449H364</t>
  </si>
  <si>
    <t>Fapuretopu</t>
  </si>
  <si>
    <t>P166H364</t>
  </si>
  <si>
    <t>Tegopa</t>
  </si>
  <si>
    <t>P491H227</t>
  </si>
  <si>
    <t>Fogocopigo</t>
  </si>
  <si>
    <t>P146H346</t>
  </si>
  <si>
    <t>Rerugepi</t>
  </si>
  <si>
    <t>P464P584</t>
  </si>
  <si>
    <t>Riteli</t>
  </si>
  <si>
    <t>P573H674</t>
  </si>
  <si>
    <t>Peputevite</t>
  </si>
  <si>
    <t>H269H179</t>
  </si>
  <si>
    <t>Gepodopo</t>
  </si>
  <si>
    <t>P194H617</t>
  </si>
  <si>
    <t>Putepecemo</t>
  </si>
  <si>
    <t>H391H721</t>
  </si>
  <si>
    <t>Ripiretori</t>
  </si>
  <si>
    <t>H349H361</t>
  </si>
  <si>
    <t>Rurepatipu</t>
  </si>
  <si>
    <t>P346P878</t>
  </si>
  <si>
    <t>Cevuro</t>
  </si>
  <si>
    <t>P886P282</t>
  </si>
  <si>
    <t>Nudica</t>
  </si>
  <si>
    <t>P565H273</t>
  </si>
  <si>
    <t>Mapinifi</t>
  </si>
  <si>
    <t>H443P459</t>
  </si>
  <si>
    <t>Terovegeta</t>
  </si>
  <si>
    <t>P825H773</t>
  </si>
  <si>
    <t>Pupolapo</t>
  </si>
  <si>
    <t>P247P143</t>
  </si>
  <si>
    <t>Votava</t>
  </si>
  <si>
    <t>H646P355</t>
  </si>
  <si>
    <t>Fuducole</t>
  </si>
  <si>
    <t>H527P341</t>
  </si>
  <si>
    <t>Miculacaco</t>
  </si>
  <si>
    <t>H558H348</t>
  </si>
  <si>
    <t>Menelapeda</t>
  </si>
  <si>
    <t>H532P698</t>
  </si>
  <si>
    <t>Lapipere</t>
  </si>
  <si>
    <t>P263H775</t>
  </si>
  <si>
    <t>Mirafapo</t>
  </si>
  <si>
    <t>H495H159</t>
  </si>
  <si>
    <t>Niluloloti</t>
  </si>
  <si>
    <t>P868H852</t>
  </si>
  <si>
    <t>Tevafu</t>
  </si>
  <si>
    <t>H235H826</t>
  </si>
  <si>
    <t>Medinumagi</t>
  </si>
  <si>
    <t>P716P782</t>
  </si>
  <si>
    <t>Parure</t>
  </si>
  <si>
    <t>H416P574</t>
  </si>
  <si>
    <t>Ratogumi</t>
  </si>
  <si>
    <t>H643H688</t>
  </si>
  <si>
    <t>Mitodepe</t>
  </si>
  <si>
    <t>P914H951</t>
  </si>
  <si>
    <t>Gigegadi</t>
  </si>
  <si>
    <t>H637H586</t>
  </si>
  <si>
    <t>Torino</t>
  </si>
  <si>
    <t>H694P481</t>
  </si>
  <si>
    <t>Rogovito</t>
  </si>
  <si>
    <t>P197H876</t>
  </si>
  <si>
    <t>Dupotu</t>
  </si>
  <si>
    <t>P392H978</t>
  </si>
  <si>
    <t>Panatiti</t>
  </si>
  <si>
    <t>H433H553</t>
  </si>
  <si>
    <t>Lipulote</t>
  </si>
  <si>
    <t>P772P158</t>
  </si>
  <si>
    <t>Mecitalu</t>
  </si>
  <si>
    <t>P967P537</t>
  </si>
  <si>
    <t>Lumarure</t>
  </si>
  <si>
    <t>H785P437</t>
  </si>
  <si>
    <t>Nopofo</t>
  </si>
  <si>
    <t>H865H352</t>
  </si>
  <si>
    <t>Nogidelu</t>
  </si>
  <si>
    <t>H331H546</t>
  </si>
  <si>
    <t>Puguvi</t>
  </si>
  <si>
    <t>P548P253</t>
  </si>
  <si>
    <t>Gugipola</t>
  </si>
  <si>
    <t>P531P826</t>
  </si>
  <si>
    <t>Mimuno</t>
  </si>
  <si>
    <t>P259H391</t>
  </si>
  <si>
    <t>Cupepono</t>
  </si>
  <si>
    <t>H233H425</t>
  </si>
  <si>
    <t>Foradamu</t>
  </si>
  <si>
    <t>H462H755</t>
  </si>
  <si>
    <t>Turucego</t>
  </si>
  <si>
    <t>H647P923</t>
  </si>
  <si>
    <t>Cucitota</t>
  </si>
  <si>
    <t>P117H715</t>
  </si>
  <si>
    <t>Dorirumoru</t>
  </si>
  <si>
    <t>P545P285</t>
  </si>
  <si>
    <t>Pulicepi</t>
  </si>
  <si>
    <t>H231P967</t>
  </si>
  <si>
    <t>Canodinogo</t>
  </si>
  <si>
    <t>H749P632</t>
  </si>
  <si>
    <t>Nevufi</t>
  </si>
  <si>
    <t>H644H253</t>
  </si>
  <si>
    <t>Patifapoga</t>
  </si>
  <si>
    <t>P474P843</t>
  </si>
  <si>
    <t>Pevepe</t>
  </si>
  <si>
    <t>P426H388</t>
  </si>
  <si>
    <t>Gocari</t>
  </si>
  <si>
    <t>P565P881</t>
  </si>
  <si>
    <t>Tagila</t>
  </si>
  <si>
    <t>H298H538</t>
  </si>
  <si>
    <t>Cavinevelo</t>
  </si>
  <si>
    <t>P293P322</t>
  </si>
  <si>
    <t>Pogecidelu</t>
  </si>
  <si>
    <t>H298P438</t>
  </si>
  <si>
    <t>Peralo</t>
  </si>
  <si>
    <t>H467H284</t>
  </si>
  <si>
    <t>Larinecupa</t>
  </si>
  <si>
    <t>H479P492</t>
  </si>
  <si>
    <t>Cotofitifi</t>
  </si>
  <si>
    <t>P613H527</t>
  </si>
  <si>
    <t>Dunodo</t>
  </si>
  <si>
    <t>H297H265</t>
  </si>
  <si>
    <t>Denatopudi</t>
  </si>
  <si>
    <t>P555P166</t>
  </si>
  <si>
    <t>Tutipapalu</t>
  </si>
  <si>
    <t>P886P514</t>
  </si>
  <si>
    <t>Riropupetu</t>
  </si>
  <si>
    <t>P273P288</t>
  </si>
  <si>
    <t>Gegati</t>
  </si>
  <si>
    <t>H594H412</t>
  </si>
  <si>
    <t>Luvutonefo</t>
  </si>
  <si>
    <t>H663P764</t>
  </si>
  <si>
    <t>Rutigipala</t>
  </si>
  <si>
    <t>H359H783</t>
  </si>
  <si>
    <t>Cidetefo</t>
  </si>
  <si>
    <t>H256P455</t>
  </si>
  <si>
    <t>Pipuluto</t>
  </si>
  <si>
    <t>H174P241</t>
  </si>
  <si>
    <t>Lecove</t>
  </si>
  <si>
    <t>H391P138</t>
  </si>
  <si>
    <t>Dupirucire</t>
  </si>
  <si>
    <t>H323P195</t>
  </si>
  <si>
    <t>Ragodalali</t>
  </si>
  <si>
    <t>H866H366</t>
  </si>
  <si>
    <t>Rufotumapi</t>
  </si>
  <si>
    <t>P936H911</t>
  </si>
  <si>
    <t>Ponedutipa</t>
  </si>
  <si>
    <t>P341P419</t>
  </si>
  <si>
    <t>Mitoluvagi</t>
  </si>
  <si>
    <t>P154P819</t>
  </si>
  <si>
    <t>Negipuri</t>
  </si>
  <si>
    <t>P346P532</t>
  </si>
  <si>
    <t>Rocugipidi</t>
  </si>
  <si>
    <t>P475H524</t>
  </si>
  <si>
    <t>Lumivi</t>
  </si>
  <si>
    <t>H832P892</t>
  </si>
  <si>
    <t>Pevapa</t>
  </si>
  <si>
    <t>H846P999</t>
  </si>
  <si>
    <t>Codepedu</t>
  </si>
  <si>
    <t>P461H735</t>
  </si>
  <si>
    <t>Tonuparo</t>
  </si>
  <si>
    <t>H422H359</t>
  </si>
  <si>
    <t>Ronopudapo</t>
  </si>
  <si>
    <t>P521H667</t>
  </si>
  <si>
    <t>Rudepimi</t>
  </si>
  <si>
    <t>P228H167</t>
  </si>
  <si>
    <t>Tatita</t>
  </si>
  <si>
    <t>P896H592</t>
  </si>
  <si>
    <t>Ceritu</t>
  </si>
  <si>
    <t>H126P995</t>
  </si>
  <si>
    <t>Vamoladapu</t>
  </si>
  <si>
    <t>P371P564</t>
  </si>
  <si>
    <t>Rogocogide</t>
  </si>
  <si>
    <t>P416P445</t>
  </si>
  <si>
    <t>Rerepopepi</t>
  </si>
  <si>
    <t>H693H715</t>
  </si>
  <si>
    <t>Raronu</t>
  </si>
  <si>
    <t>P977H273</t>
  </si>
  <si>
    <t>Piruci</t>
  </si>
  <si>
    <t>H341H173</t>
  </si>
  <si>
    <t>Fovuvepotu</t>
  </si>
  <si>
    <t>H352H248</t>
  </si>
  <si>
    <t>Piratucone</t>
  </si>
  <si>
    <t>P988P828</t>
  </si>
  <si>
    <t>Ganetedoni</t>
  </si>
  <si>
    <t>P366H596</t>
  </si>
  <si>
    <t>Movarafugi</t>
  </si>
  <si>
    <t>H559P117</t>
  </si>
  <si>
    <t>Fopituto</t>
  </si>
  <si>
    <t>H857H232</t>
  </si>
  <si>
    <t>Pegeme</t>
  </si>
  <si>
    <t>P436H986</t>
  </si>
  <si>
    <t>Cipuma</t>
  </si>
  <si>
    <t>P343H133</t>
  </si>
  <si>
    <t>Poferame</t>
  </si>
  <si>
    <t>H986P575</t>
  </si>
  <si>
    <t>Rumipitero</t>
  </si>
  <si>
    <t>H288P128</t>
  </si>
  <si>
    <t>Rudiruna</t>
  </si>
  <si>
    <t>P336H243</t>
  </si>
  <si>
    <t>Lidevu</t>
  </si>
  <si>
    <t>P987H699</t>
  </si>
  <si>
    <t>Rudocepa</t>
  </si>
  <si>
    <t>P376H139</t>
  </si>
  <si>
    <t>Gafico</t>
  </si>
  <si>
    <t>H126P766</t>
  </si>
  <si>
    <t>Dutupifopo</t>
  </si>
  <si>
    <t>P836H697</t>
  </si>
  <si>
    <t>Folarofe</t>
  </si>
  <si>
    <t>H645P187</t>
  </si>
  <si>
    <t>Pocaritite</t>
  </si>
  <si>
    <t>P667H286</t>
  </si>
  <si>
    <t>Ranenaceri</t>
  </si>
  <si>
    <t>P161P248</t>
  </si>
  <si>
    <t>Tumori</t>
  </si>
  <si>
    <t>H868H721</t>
  </si>
  <si>
    <t>Livime</t>
  </si>
  <si>
    <t>P734P755</t>
  </si>
  <si>
    <t>Pefemivuna</t>
  </si>
  <si>
    <t>P451P548</t>
  </si>
  <si>
    <t>Pitune</t>
  </si>
  <si>
    <t>P246P136</t>
  </si>
  <si>
    <t>Darapopi</t>
  </si>
  <si>
    <t>H436H287</t>
  </si>
  <si>
    <t>Podirore</t>
  </si>
  <si>
    <t>H166H448</t>
  </si>
  <si>
    <t>Rapurade</t>
  </si>
  <si>
    <t>H571P511</t>
  </si>
  <si>
    <t>Vipipovora</t>
  </si>
  <si>
    <t>P841H636</t>
  </si>
  <si>
    <t>Roguvegata</t>
  </si>
  <si>
    <t>H943P391</t>
  </si>
  <si>
    <t>Pirinocare</t>
  </si>
  <si>
    <t>P535P987</t>
  </si>
  <si>
    <t>Vorepemi</t>
  </si>
  <si>
    <t>H735P625</t>
  </si>
  <si>
    <t>Raparanege</t>
  </si>
  <si>
    <t>P523H119</t>
  </si>
  <si>
    <t>Dulucafa</t>
  </si>
  <si>
    <t>H933P995</t>
  </si>
  <si>
    <t>Ripopape</t>
  </si>
  <si>
    <t>H731P678</t>
  </si>
  <si>
    <t>Gorani</t>
  </si>
  <si>
    <t>P331H938</t>
  </si>
  <si>
    <t>Modopefotu</t>
  </si>
  <si>
    <t>P187P913</t>
  </si>
  <si>
    <t>Pepacu</t>
  </si>
  <si>
    <t>H732P916</t>
  </si>
  <si>
    <t>Dopadamelu</t>
  </si>
  <si>
    <t>P944P685</t>
  </si>
  <si>
    <t>Nanalatu</t>
  </si>
  <si>
    <t>P888H478</t>
  </si>
  <si>
    <t>Cedorimana</t>
  </si>
  <si>
    <t>H447P838</t>
  </si>
  <si>
    <t>Purumu</t>
  </si>
  <si>
    <t>P595P329</t>
  </si>
  <si>
    <t>Metafemi</t>
  </si>
  <si>
    <t>H489P362</t>
  </si>
  <si>
    <t>Tapira</t>
  </si>
  <si>
    <t>P286P914</t>
  </si>
  <si>
    <t>Lutanimiro</t>
  </si>
  <si>
    <t>H877P742</t>
  </si>
  <si>
    <t>Copepu</t>
  </si>
  <si>
    <t>H375H546</t>
  </si>
  <si>
    <t>Petecipu</t>
  </si>
  <si>
    <t>P929H144</t>
  </si>
  <si>
    <t>Tafamuneci</t>
  </si>
  <si>
    <t>H643H178</t>
  </si>
  <si>
    <t>Fodelorolu</t>
  </si>
  <si>
    <t>H854P534</t>
  </si>
  <si>
    <t>Romepuma</t>
  </si>
  <si>
    <t>P244P655</t>
  </si>
  <si>
    <t>Fucole</t>
  </si>
  <si>
    <t>H411H479</t>
  </si>
  <si>
    <t>Lipecurare</t>
  </si>
  <si>
    <t>H625P419</t>
  </si>
  <si>
    <t>Cinumu</t>
  </si>
  <si>
    <t>H247H845</t>
  </si>
  <si>
    <t>Fuceni</t>
  </si>
  <si>
    <t>P969P881</t>
  </si>
  <si>
    <t>Nugutila</t>
  </si>
  <si>
    <t>H787H532</t>
  </si>
  <si>
    <t>Polerudi</t>
  </si>
  <si>
    <t>H834H721</t>
  </si>
  <si>
    <t>Niririvi</t>
  </si>
  <si>
    <t>P982P825</t>
  </si>
  <si>
    <t>Cidarutaco</t>
  </si>
  <si>
    <t>H115P855</t>
  </si>
  <si>
    <t>Pepeda</t>
  </si>
  <si>
    <t>P722P389</t>
  </si>
  <si>
    <t>Gefodufo</t>
  </si>
  <si>
    <t>H772H663</t>
  </si>
  <si>
    <t>Meparepu</t>
  </si>
  <si>
    <t>H687H264</t>
  </si>
  <si>
    <t>Tupecuvatu</t>
  </si>
  <si>
    <t>H987H461</t>
  </si>
  <si>
    <t>Daguradani</t>
  </si>
  <si>
    <t>P335H422</t>
  </si>
  <si>
    <t>Donego</t>
  </si>
  <si>
    <t>P824P142</t>
  </si>
  <si>
    <t>Renatupu</t>
  </si>
  <si>
    <t>P849H556</t>
  </si>
  <si>
    <t>Renemuce</t>
  </si>
  <si>
    <t>P133P976</t>
  </si>
  <si>
    <t>Cirife</t>
  </si>
  <si>
    <t>P137P861</t>
  </si>
  <si>
    <t>Megogu</t>
  </si>
  <si>
    <t>P815H636</t>
  </si>
  <si>
    <t>Focelide</t>
  </si>
  <si>
    <t>P367P951</t>
  </si>
  <si>
    <t>Matenecapi</t>
  </si>
  <si>
    <t>H777H184</t>
  </si>
  <si>
    <t>Tarapugato</t>
  </si>
  <si>
    <t>P726P826</t>
  </si>
  <si>
    <t>Piralu</t>
  </si>
  <si>
    <t>H614H456</t>
  </si>
  <si>
    <t>Ponava</t>
  </si>
  <si>
    <t>P855P273</t>
  </si>
  <si>
    <t>Rolovifi</t>
  </si>
  <si>
    <t>P948H517</t>
  </si>
  <si>
    <t>Vopepumi</t>
  </si>
  <si>
    <t>P357P917</t>
  </si>
  <si>
    <t>Pogetepi</t>
  </si>
  <si>
    <t>P495H747</t>
  </si>
  <si>
    <t>Deranofipa</t>
  </si>
  <si>
    <t>H162P342</t>
  </si>
  <si>
    <t>Tumepela</t>
  </si>
  <si>
    <t>H735P463</t>
  </si>
  <si>
    <t>Tagipatoma</t>
  </si>
  <si>
    <t>H694H669</t>
  </si>
  <si>
    <t>Fopilama</t>
  </si>
  <si>
    <t>H469P486</t>
  </si>
  <si>
    <t>Lidinu</t>
  </si>
  <si>
    <t>H515H819</t>
  </si>
  <si>
    <t>Temopote</t>
  </si>
  <si>
    <t>H398P613</t>
  </si>
  <si>
    <t>Natonofuti</t>
  </si>
  <si>
    <t>P154H797</t>
  </si>
  <si>
    <t>Patuga</t>
  </si>
  <si>
    <t>P347H187</t>
  </si>
  <si>
    <t>Mulopapa</t>
  </si>
  <si>
    <t>H149P153</t>
  </si>
  <si>
    <t>Napace</t>
  </si>
  <si>
    <t>P861H917</t>
  </si>
  <si>
    <t>Fufopero</t>
  </si>
  <si>
    <t>P625P745</t>
  </si>
  <si>
    <t>Gagetatope</t>
  </si>
  <si>
    <t>H117H711</t>
  </si>
  <si>
    <t>Pituri</t>
  </si>
  <si>
    <t>H146H944</t>
  </si>
  <si>
    <t>Nenava</t>
  </si>
  <si>
    <t>P312H514</t>
  </si>
  <si>
    <t>Gemofiviru</t>
  </si>
  <si>
    <t>P869P186</t>
  </si>
  <si>
    <t>Vomipico</t>
  </si>
  <si>
    <t>H136P925</t>
  </si>
  <si>
    <t>Fuvepurodi</t>
  </si>
  <si>
    <t>H756H441</t>
  </si>
  <si>
    <t>Netugo</t>
  </si>
  <si>
    <t>H149P458</t>
  </si>
  <si>
    <t>Timiro</t>
  </si>
  <si>
    <t>P377H698</t>
  </si>
  <si>
    <t>Pepape</t>
  </si>
  <si>
    <t>H548H579</t>
  </si>
  <si>
    <t>Gimape</t>
  </si>
  <si>
    <t>P443H361</t>
  </si>
  <si>
    <t>Regopa</t>
  </si>
  <si>
    <t>H728P726</t>
  </si>
  <si>
    <t>Fogaduriti</t>
  </si>
  <si>
    <t>P523H388</t>
  </si>
  <si>
    <t>Tatura</t>
  </si>
  <si>
    <t>P184H391</t>
  </si>
  <si>
    <t>Penotalano</t>
  </si>
  <si>
    <t>P635P845</t>
  </si>
  <si>
    <t>Cinuripemo</t>
  </si>
  <si>
    <t>H524P462</t>
  </si>
  <si>
    <t>Galanuvufi</t>
  </si>
  <si>
    <t>H892P944</t>
  </si>
  <si>
    <t>Tupucona</t>
  </si>
  <si>
    <t>H891H786</t>
  </si>
  <si>
    <t>Taropada</t>
  </si>
  <si>
    <t>H688P476</t>
  </si>
  <si>
    <t>Cufapotami</t>
  </si>
  <si>
    <t>H866P847</t>
  </si>
  <si>
    <t>Rupiro</t>
  </si>
  <si>
    <t>P821H472</t>
  </si>
  <si>
    <t>Puvigenovi</t>
  </si>
  <si>
    <t>H373P684</t>
  </si>
  <si>
    <t>Menora</t>
  </si>
  <si>
    <t>P948P317</t>
  </si>
  <si>
    <t>Tomireno</t>
  </si>
  <si>
    <t>P824P824</t>
  </si>
  <si>
    <t>Tutereliro</t>
  </si>
  <si>
    <t>H596P813</t>
  </si>
  <si>
    <t>Papogu</t>
  </si>
  <si>
    <t>H932H746</t>
  </si>
  <si>
    <t>Varepego</t>
  </si>
  <si>
    <t>H632P264</t>
  </si>
  <si>
    <t>Fopemacapi</t>
  </si>
  <si>
    <t>P751H241</t>
  </si>
  <si>
    <t>Roluvo</t>
  </si>
  <si>
    <t>H575H646</t>
  </si>
  <si>
    <t>Gopemavige</t>
  </si>
  <si>
    <t>P899P748</t>
  </si>
  <si>
    <t>Fefevepa</t>
  </si>
  <si>
    <t>P454H281</t>
  </si>
  <si>
    <t>Piconadalu</t>
  </si>
  <si>
    <t>P579P116</t>
  </si>
  <si>
    <t>Pidaveturo</t>
  </si>
  <si>
    <t>H541P745</t>
  </si>
  <si>
    <t>Locipu</t>
  </si>
  <si>
    <t>P941P925</t>
  </si>
  <si>
    <t>Marocupu</t>
  </si>
  <si>
    <t>P399H546</t>
  </si>
  <si>
    <t>Fapemi</t>
  </si>
  <si>
    <t>P992H374</t>
  </si>
  <si>
    <t>Macirori</t>
  </si>
  <si>
    <t>H925H857</t>
  </si>
  <si>
    <t>Nipulitete</t>
  </si>
  <si>
    <t>H665P324</t>
  </si>
  <si>
    <t>Tudumafanu</t>
  </si>
  <si>
    <t>H618H259</t>
  </si>
  <si>
    <t>Rorutofogu</t>
  </si>
  <si>
    <t>P639P111</t>
  </si>
  <si>
    <t>Turunevafu</t>
  </si>
  <si>
    <t>H335H469</t>
  </si>
  <si>
    <t>Fenatirimu</t>
  </si>
  <si>
    <t>H955P122</t>
  </si>
  <si>
    <t>Fuperu</t>
  </si>
  <si>
    <t>H345H352</t>
  </si>
  <si>
    <t>Meterucuro</t>
  </si>
  <si>
    <t>P441P742</t>
  </si>
  <si>
    <t>Ritine</t>
  </si>
  <si>
    <t>H675H774</t>
  </si>
  <si>
    <t>Canecegupo</t>
  </si>
  <si>
    <t>H736P987</t>
  </si>
  <si>
    <t>Vupove</t>
  </si>
  <si>
    <t>P856H646</t>
  </si>
  <si>
    <t>Rarevofano</t>
  </si>
  <si>
    <t>H745P554</t>
  </si>
  <si>
    <t>Donarunoce</t>
  </si>
  <si>
    <t>P348P869</t>
  </si>
  <si>
    <t>Vapitu</t>
  </si>
  <si>
    <t>P977H712</t>
  </si>
  <si>
    <t>Navotifo</t>
  </si>
  <si>
    <t>P937P341</t>
  </si>
  <si>
    <t>Guluru</t>
  </si>
  <si>
    <t>H445H819</t>
  </si>
  <si>
    <t>Pifutapu</t>
  </si>
  <si>
    <t>P755H532</t>
  </si>
  <si>
    <t>Piteco</t>
  </si>
  <si>
    <t>P947P659</t>
  </si>
  <si>
    <t>Nipapi</t>
  </si>
  <si>
    <t>H475P947</t>
  </si>
  <si>
    <t>Repula</t>
  </si>
  <si>
    <t>P995H649</t>
  </si>
  <si>
    <t>Temapo</t>
  </si>
  <si>
    <t>P974P941</t>
  </si>
  <si>
    <t>Pugice</t>
  </si>
  <si>
    <t>H397P411</t>
  </si>
  <si>
    <t>Terinipe</t>
  </si>
  <si>
    <t>P342P633</t>
  </si>
  <si>
    <t>Mopatu</t>
  </si>
  <si>
    <t>P899H681</t>
  </si>
  <si>
    <t>Mipulu</t>
  </si>
  <si>
    <t>H699H318</t>
  </si>
  <si>
    <t>Nulifinogu</t>
  </si>
  <si>
    <t>H348H166</t>
  </si>
  <si>
    <t>Vovocanele</t>
  </si>
  <si>
    <t>H751H657</t>
  </si>
  <si>
    <t>Tarecorepe</t>
  </si>
  <si>
    <t>P697P831</t>
  </si>
  <si>
    <t>Domudonu</t>
  </si>
  <si>
    <t>H272H276</t>
  </si>
  <si>
    <t>Nepamicipi</t>
  </si>
  <si>
    <t>H293P577</t>
  </si>
  <si>
    <t>Tulifa</t>
  </si>
  <si>
    <t>P381P119</t>
  </si>
  <si>
    <t>Pugopi</t>
  </si>
  <si>
    <t>H628P885</t>
  </si>
  <si>
    <t>Modagipodo</t>
  </si>
  <si>
    <t>P372H292</t>
  </si>
  <si>
    <t>Picopura</t>
  </si>
  <si>
    <t>H645H558</t>
  </si>
  <si>
    <t>Tapafecope</t>
  </si>
  <si>
    <t>P389P268</t>
  </si>
  <si>
    <t>Cudamocopi</t>
  </si>
  <si>
    <t>P667H188</t>
  </si>
  <si>
    <t>Laridupaca</t>
  </si>
  <si>
    <t>H822H885</t>
  </si>
  <si>
    <t>Rapopa</t>
  </si>
  <si>
    <t>H538H378</t>
  </si>
  <si>
    <t>Rupari</t>
  </si>
  <si>
    <t>P691P787</t>
  </si>
  <si>
    <t>Duteco</t>
  </si>
  <si>
    <t>H399P915</t>
  </si>
  <si>
    <t>Rapetofe</t>
  </si>
  <si>
    <t>H692H175</t>
  </si>
  <si>
    <t>Temifara</t>
  </si>
  <si>
    <t>P888H517</t>
  </si>
  <si>
    <t>Pemuti</t>
  </si>
  <si>
    <t>P821P341</t>
  </si>
  <si>
    <t>Furupeto</t>
  </si>
  <si>
    <t>H481H849</t>
  </si>
  <si>
    <t>Parigupava</t>
  </si>
  <si>
    <t>H469H647</t>
  </si>
  <si>
    <t>Toficipe</t>
  </si>
  <si>
    <t>P821P284</t>
  </si>
  <si>
    <t>Valefoga</t>
  </si>
  <si>
    <t>P897P476</t>
  </si>
  <si>
    <t>Tidupu</t>
  </si>
  <si>
    <t>H672P343</t>
  </si>
  <si>
    <t>Rutocaguda</t>
  </si>
  <si>
    <t>H956H675</t>
  </si>
  <si>
    <t>Pomefipeni</t>
  </si>
  <si>
    <t>H269H715</t>
  </si>
  <si>
    <t>Ropoticacu</t>
  </si>
  <si>
    <t>H229P155</t>
  </si>
  <si>
    <t>Torage</t>
  </si>
  <si>
    <t>P221H966</t>
  </si>
  <si>
    <t>Pafurefa</t>
  </si>
  <si>
    <t>H637H523</t>
  </si>
  <si>
    <t>Popuditoto</t>
  </si>
  <si>
    <t>H724H675</t>
  </si>
  <si>
    <t>Tuvodona</t>
  </si>
  <si>
    <t>H749P499</t>
  </si>
  <si>
    <t>Piraralo</t>
  </si>
  <si>
    <t>P632H596</t>
  </si>
  <si>
    <t>Penero</t>
  </si>
  <si>
    <t>P838H438</t>
  </si>
  <si>
    <t>Rorovita</t>
  </si>
  <si>
    <t>H732P396</t>
  </si>
  <si>
    <t>Curivi</t>
  </si>
  <si>
    <t>H488H179</t>
  </si>
  <si>
    <t>Paliveme</t>
  </si>
  <si>
    <t>H926P734</t>
  </si>
  <si>
    <t>Taceturu</t>
  </si>
  <si>
    <t>H532H831</t>
  </si>
  <si>
    <t>Damira</t>
  </si>
  <si>
    <t>P734H823</t>
  </si>
  <si>
    <t>Ripevafope</t>
  </si>
  <si>
    <t>H451P636</t>
  </si>
  <si>
    <t>Ratumova</t>
  </si>
  <si>
    <t>P961H738</t>
  </si>
  <si>
    <t>Rorapalape</t>
  </si>
  <si>
    <t>P672H961</t>
  </si>
  <si>
    <t>Viloruga</t>
  </si>
  <si>
    <t>H465P669</t>
  </si>
  <si>
    <t>Firacato</t>
  </si>
  <si>
    <t>H461P667</t>
  </si>
  <si>
    <t>Gotadofepu</t>
  </si>
  <si>
    <t>P685H239</t>
  </si>
  <si>
    <t>Ponopatufo</t>
  </si>
  <si>
    <t>P233H554</t>
  </si>
  <si>
    <t>Tenogapigu</t>
  </si>
  <si>
    <t>H117P727</t>
  </si>
  <si>
    <t>Murerava</t>
  </si>
  <si>
    <t>H227P855</t>
  </si>
  <si>
    <t>Lutimana</t>
  </si>
  <si>
    <t>P631P858</t>
  </si>
  <si>
    <t>Daretatupo</t>
  </si>
  <si>
    <t>P557P568</t>
  </si>
  <si>
    <t>Davata</t>
  </si>
  <si>
    <t>H126P278</t>
  </si>
  <si>
    <t>Funateripe</t>
  </si>
  <si>
    <t>P225P326</t>
  </si>
  <si>
    <t>Gigeta</t>
  </si>
  <si>
    <t>H184P767</t>
  </si>
  <si>
    <t>Gulomofi</t>
  </si>
  <si>
    <t>H246H267</t>
  </si>
  <si>
    <t>Pumipedini</t>
  </si>
  <si>
    <t>P945P541</t>
  </si>
  <si>
    <t>Tipono</t>
  </si>
  <si>
    <t>P722H897</t>
  </si>
  <si>
    <t>Mucilitire</t>
  </si>
  <si>
    <t>H498H238</t>
  </si>
  <si>
    <t>Pagomevitu</t>
  </si>
  <si>
    <t>P428P436</t>
  </si>
  <si>
    <t>Pemecidi</t>
  </si>
  <si>
    <t>P986H136</t>
  </si>
  <si>
    <t>Vepupapa</t>
  </si>
  <si>
    <t>P697P922</t>
  </si>
  <si>
    <t>Reripelaru</t>
  </si>
  <si>
    <t>H635P634</t>
  </si>
  <si>
    <t>Norapunupu</t>
  </si>
  <si>
    <t>H663P358</t>
  </si>
  <si>
    <t>Tutuditoli</t>
  </si>
  <si>
    <t>H756P163</t>
  </si>
  <si>
    <t>Gevurupuru</t>
  </si>
  <si>
    <t>P968P994</t>
  </si>
  <si>
    <t>Gapavupapi</t>
  </si>
  <si>
    <t>H736H945</t>
  </si>
  <si>
    <t>Vipoviliru</t>
  </si>
  <si>
    <t>H419H879</t>
  </si>
  <si>
    <t>Vopucepamo</t>
  </si>
  <si>
    <t>H726P273</t>
  </si>
  <si>
    <t>Tepuce</t>
  </si>
  <si>
    <t>P948H843</t>
  </si>
  <si>
    <t>Pemumitora</t>
  </si>
  <si>
    <t>P144H546</t>
  </si>
  <si>
    <t>Fapuragi</t>
  </si>
  <si>
    <t>H487H463</t>
  </si>
  <si>
    <t>Lamefepe</t>
  </si>
  <si>
    <t>H487P611</t>
  </si>
  <si>
    <t>Lerenotu</t>
  </si>
  <si>
    <t>P597H444</t>
  </si>
  <si>
    <t>Tidinudifa</t>
  </si>
  <si>
    <t>H366H311</t>
  </si>
  <si>
    <t>Romipo</t>
  </si>
  <si>
    <t>P814P725</t>
  </si>
  <si>
    <t>Lacevicela</t>
  </si>
  <si>
    <t>P942H818</t>
  </si>
  <si>
    <t>Lutepuci</t>
  </si>
  <si>
    <t>H471H659</t>
  </si>
  <si>
    <t>Rotupa</t>
  </si>
  <si>
    <t>H312P762</t>
  </si>
  <si>
    <t>Ponotumu</t>
  </si>
  <si>
    <t>H168P277</t>
  </si>
  <si>
    <t>Fivadote</t>
  </si>
  <si>
    <t>H546H924</t>
  </si>
  <si>
    <t>Napolu</t>
  </si>
  <si>
    <t>H213H542</t>
  </si>
  <si>
    <t>Retera</t>
  </si>
  <si>
    <t>P998H818</t>
  </si>
  <si>
    <t>Pamoce</t>
  </si>
  <si>
    <t>H138P582</t>
  </si>
  <si>
    <t>Gadototi</t>
  </si>
  <si>
    <t>H881H638</t>
  </si>
  <si>
    <t>Ridamevu</t>
  </si>
  <si>
    <t>P185P288</t>
  </si>
  <si>
    <t>Petudutipu</t>
  </si>
  <si>
    <t>P916H726</t>
  </si>
  <si>
    <t>Piponuta</t>
  </si>
  <si>
    <t>H987H215</t>
  </si>
  <si>
    <t>Focari</t>
  </si>
  <si>
    <t>P128H731</t>
  </si>
  <si>
    <t>Mupalini</t>
  </si>
  <si>
    <t>P155H671</t>
  </si>
  <si>
    <t>Pederulicu</t>
  </si>
  <si>
    <t>H793P999</t>
  </si>
  <si>
    <t>Potarere</t>
  </si>
  <si>
    <t>P726H599</t>
  </si>
  <si>
    <t>Gucula</t>
  </si>
  <si>
    <t>H581H451</t>
  </si>
  <si>
    <t>Tilove</t>
  </si>
  <si>
    <t>P111P475</t>
  </si>
  <si>
    <t>Nupate</t>
  </si>
  <si>
    <t>H911P329</t>
  </si>
  <si>
    <t>Pofari</t>
  </si>
  <si>
    <t>H555P172</t>
  </si>
  <si>
    <t>Galucota</t>
  </si>
  <si>
    <t>H937P845</t>
  </si>
  <si>
    <t>Dopodo</t>
  </si>
  <si>
    <t>P514P652</t>
  </si>
  <si>
    <t>Naparune</t>
  </si>
  <si>
    <t>P627P416</t>
  </si>
  <si>
    <t>Rimupapi</t>
  </si>
  <si>
    <t>H853P655</t>
  </si>
  <si>
    <t>Vipugepi</t>
  </si>
  <si>
    <t>H493H797</t>
  </si>
  <si>
    <t>Pururuce</t>
  </si>
  <si>
    <t>P865H759</t>
  </si>
  <si>
    <t>Rifaronude</t>
  </si>
  <si>
    <t>P163P684</t>
  </si>
  <si>
    <t>Camupe</t>
  </si>
  <si>
    <t>H833H316</t>
  </si>
  <si>
    <t>Tomulu</t>
  </si>
  <si>
    <t>P245H995</t>
  </si>
  <si>
    <t>Nutetafava</t>
  </si>
  <si>
    <t>H358H871</t>
  </si>
  <si>
    <t>Tiponetatu</t>
  </si>
  <si>
    <t>P224P834</t>
  </si>
  <si>
    <t>Detotera</t>
  </si>
  <si>
    <t>P259P945</t>
  </si>
  <si>
    <t>Lugocolodu</t>
  </si>
  <si>
    <t>P991H576</t>
  </si>
  <si>
    <t>Ditatuvi</t>
  </si>
  <si>
    <t>H676P682</t>
  </si>
  <si>
    <t>Pudagiruto</t>
  </si>
  <si>
    <t>H285H135</t>
  </si>
  <si>
    <t>Dupado</t>
  </si>
  <si>
    <t>H444H723</t>
  </si>
  <si>
    <t>Panilo</t>
  </si>
  <si>
    <t>H523H796</t>
  </si>
  <si>
    <t>Gaceporofu</t>
  </si>
  <si>
    <t>P875H779</t>
  </si>
  <si>
    <t>Lalumapipe</t>
  </si>
  <si>
    <t>P847P993</t>
  </si>
  <si>
    <t>Patufucici</t>
  </si>
  <si>
    <t>P146H467</t>
  </si>
  <si>
    <t>Depuvo</t>
  </si>
  <si>
    <t>H236H529</t>
  </si>
  <si>
    <t>Mupora</t>
  </si>
  <si>
    <t>H542P123</t>
  </si>
  <si>
    <t>Ritedupela</t>
  </si>
  <si>
    <t>P174P899</t>
  </si>
  <si>
    <t>Celifofa</t>
  </si>
  <si>
    <t>H338P635</t>
  </si>
  <si>
    <t>Tetire</t>
  </si>
  <si>
    <t>P951P967</t>
  </si>
  <si>
    <t>Dogorogere</t>
  </si>
  <si>
    <t>P857H195</t>
  </si>
  <si>
    <t>Puripiladu</t>
  </si>
  <si>
    <t>P878P681</t>
  </si>
  <si>
    <t>Puvipadici</t>
  </si>
  <si>
    <t>P133P673</t>
  </si>
  <si>
    <t>Pataciro</t>
  </si>
  <si>
    <t>H363H827</t>
  </si>
  <si>
    <t>Lugota</t>
  </si>
  <si>
    <t>H719P221</t>
  </si>
  <si>
    <t>Parata</t>
  </si>
  <si>
    <t>H161H515</t>
  </si>
  <si>
    <t>Galefitora</t>
  </si>
  <si>
    <t>P343P411</t>
  </si>
  <si>
    <t>Piruvacutu</t>
  </si>
  <si>
    <t>P568H488</t>
  </si>
  <si>
    <t>Povuta</t>
  </si>
  <si>
    <t>P417P232</t>
  </si>
  <si>
    <t>Corerevipe</t>
  </si>
  <si>
    <t>H812H399</t>
  </si>
  <si>
    <t>Patunu</t>
  </si>
  <si>
    <t>P317P386</t>
  </si>
  <si>
    <t>Pidipepa</t>
  </si>
  <si>
    <t>H738H722</t>
  </si>
  <si>
    <t>Rerariraga</t>
  </si>
  <si>
    <t>H194H898</t>
  </si>
  <si>
    <t>Rerudarufe</t>
  </si>
  <si>
    <t>P381P288</t>
  </si>
  <si>
    <t>Dimuca</t>
  </si>
  <si>
    <t>P327P874</t>
  </si>
  <si>
    <t>Natopi</t>
  </si>
  <si>
    <t>P677P137</t>
  </si>
  <si>
    <t>Petolo</t>
  </si>
  <si>
    <t>P758P228</t>
  </si>
  <si>
    <t>Tanivo</t>
  </si>
  <si>
    <t>P549H884</t>
  </si>
  <si>
    <t>Gagirudapa</t>
  </si>
  <si>
    <t>P599H614</t>
  </si>
  <si>
    <t>Virepilapo</t>
  </si>
  <si>
    <t>P345P868</t>
  </si>
  <si>
    <t>Pifufuvopi</t>
  </si>
  <si>
    <t>H891H947</t>
  </si>
  <si>
    <t>Rutopotu</t>
  </si>
  <si>
    <t>H342P111</t>
  </si>
  <si>
    <t>Tatepu</t>
  </si>
  <si>
    <t>H228P233</t>
  </si>
  <si>
    <t>Vidaporepa</t>
  </si>
  <si>
    <t>P598P514</t>
  </si>
  <si>
    <t>Refugu</t>
  </si>
  <si>
    <t>P137P487</t>
  </si>
  <si>
    <t>Purulepele</t>
  </si>
  <si>
    <t>P886H168</t>
  </si>
  <si>
    <t>Tevalucicu</t>
  </si>
  <si>
    <t>P661P972</t>
  </si>
  <si>
    <t>Popumate</t>
  </si>
  <si>
    <t>H482P472</t>
  </si>
  <si>
    <t>Pevuva</t>
  </si>
  <si>
    <t>H653H654</t>
  </si>
  <si>
    <t>Derotuve</t>
  </si>
  <si>
    <t>H873H545</t>
  </si>
  <si>
    <t>Culide</t>
  </si>
  <si>
    <t>P397P877</t>
  </si>
  <si>
    <t>Pupoto</t>
  </si>
  <si>
    <t>P836P985</t>
  </si>
  <si>
    <t>Nulidepufa</t>
  </si>
  <si>
    <t>P981H484</t>
  </si>
  <si>
    <t>Tamuli</t>
  </si>
  <si>
    <t>P391P747</t>
  </si>
  <si>
    <t>Tifatu</t>
  </si>
  <si>
    <t>P763H429</t>
  </si>
  <si>
    <t>Gatemopi</t>
  </si>
  <si>
    <t>P787H141</t>
  </si>
  <si>
    <t>Votiri</t>
  </si>
  <si>
    <t>P443P926</t>
  </si>
  <si>
    <t>Papipe</t>
  </si>
  <si>
    <t>P175H683</t>
  </si>
  <si>
    <t>Regapeta</t>
  </si>
  <si>
    <t>P662P263</t>
  </si>
  <si>
    <t>Deficamu</t>
  </si>
  <si>
    <t>H168P469</t>
  </si>
  <si>
    <t>Nitovi</t>
  </si>
  <si>
    <t>H262P723</t>
  </si>
  <si>
    <t>Lonepoti</t>
  </si>
  <si>
    <t>H171H699</t>
  </si>
  <si>
    <t>Rapole</t>
  </si>
  <si>
    <t>P228H172</t>
  </si>
  <si>
    <t>Mururedari</t>
  </si>
  <si>
    <t>H946H875</t>
  </si>
  <si>
    <t>Fatigo</t>
  </si>
  <si>
    <t>H425P241</t>
  </si>
  <si>
    <t>Panedotofe</t>
  </si>
  <si>
    <t>P238H297</t>
  </si>
  <si>
    <t>Romutiporu</t>
  </si>
  <si>
    <t>P964H636</t>
  </si>
  <si>
    <t>Rafuripuvi</t>
  </si>
  <si>
    <t>P977H735</t>
  </si>
  <si>
    <t>Pumoto</t>
  </si>
  <si>
    <t>P826P232</t>
  </si>
  <si>
    <t>Vitadetu</t>
  </si>
  <si>
    <t>H525P485</t>
  </si>
  <si>
    <t>Vopave</t>
  </si>
  <si>
    <t>P821H841</t>
  </si>
  <si>
    <t>Racopo</t>
  </si>
  <si>
    <t>P525P673</t>
  </si>
  <si>
    <t>Napurodi</t>
  </si>
  <si>
    <t>P417H749</t>
  </si>
  <si>
    <t>Pireleca</t>
  </si>
  <si>
    <t>P274P337</t>
  </si>
  <si>
    <t>Pupenupuci</t>
  </si>
  <si>
    <t>H469H214</t>
  </si>
  <si>
    <t>Papemugogo</t>
  </si>
  <si>
    <t>H929H696</t>
  </si>
  <si>
    <t>Neninugo</t>
  </si>
  <si>
    <t>P786H652</t>
  </si>
  <si>
    <t>Lidaritipo</t>
  </si>
  <si>
    <t>P642P429</t>
  </si>
  <si>
    <t>Nocuto</t>
  </si>
  <si>
    <t>P844H378</t>
  </si>
  <si>
    <t>Rataripupu</t>
  </si>
  <si>
    <t>H439H611</t>
  </si>
  <si>
    <t>Tepepi</t>
  </si>
  <si>
    <t>H128P679</t>
  </si>
  <si>
    <t>Farivafe</t>
  </si>
  <si>
    <t>P473H497</t>
  </si>
  <si>
    <t>Funurape</t>
  </si>
  <si>
    <t>P387H919</t>
  </si>
  <si>
    <t>Lugumudo</t>
  </si>
  <si>
    <t>P737P623</t>
  </si>
  <si>
    <t>Togafuteru</t>
  </si>
  <si>
    <t>P962P521</t>
  </si>
  <si>
    <t>Lameto</t>
  </si>
  <si>
    <t>P181H582</t>
  </si>
  <si>
    <t>Ridanefe</t>
  </si>
  <si>
    <t>P827P769</t>
  </si>
  <si>
    <t>Lepavicati</t>
  </si>
  <si>
    <t>H745H641</t>
  </si>
  <si>
    <t>Vatini</t>
  </si>
  <si>
    <t>H656P417</t>
  </si>
  <si>
    <t>Nifirivita</t>
  </si>
  <si>
    <t>P153H977</t>
  </si>
  <si>
    <t>Nipolaru</t>
  </si>
  <si>
    <t>P587P256</t>
  </si>
  <si>
    <t>Periludage</t>
  </si>
  <si>
    <t>P198H521</t>
  </si>
  <si>
    <t>Digugidi</t>
  </si>
  <si>
    <t>H866P879</t>
  </si>
  <si>
    <t>Dunelunu</t>
  </si>
  <si>
    <t>P878H426</t>
  </si>
  <si>
    <t>Papupu</t>
  </si>
  <si>
    <t>P725P788</t>
  </si>
  <si>
    <t>Demipuna</t>
  </si>
  <si>
    <t>H484H561</t>
  </si>
  <si>
    <t>Titudaradu</t>
  </si>
  <si>
    <t>P345P496</t>
  </si>
  <si>
    <t>Cotetipi</t>
  </si>
  <si>
    <t>H545P384</t>
  </si>
  <si>
    <t>Mipufupu</t>
  </si>
  <si>
    <t>P928P178</t>
  </si>
  <si>
    <t>Potifigo</t>
  </si>
  <si>
    <t>H323P276</t>
  </si>
  <si>
    <t>Delucolo</t>
  </si>
  <si>
    <t>P799H323</t>
  </si>
  <si>
    <t>Gurugiri</t>
  </si>
  <si>
    <t>H923P488</t>
  </si>
  <si>
    <t>Vecigidone</t>
  </si>
  <si>
    <t>H588H741</t>
  </si>
  <si>
    <t>Vetogice</t>
  </si>
  <si>
    <t>H856H224</t>
  </si>
  <si>
    <t>Togupori</t>
  </si>
  <si>
    <t>H947P779</t>
  </si>
  <si>
    <t>Folifuno</t>
  </si>
  <si>
    <t>H224H544</t>
  </si>
  <si>
    <t>Papaficuni</t>
  </si>
  <si>
    <t>P124P521</t>
  </si>
  <si>
    <t>Poputo</t>
  </si>
  <si>
    <t>P851H117</t>
  </si>
  <si>
    <t>Tanacapege</t>
  </si>
  <si>
    <t>P527P146</t>
  </si>
  <si>
    <t>Teremo</t>
  </si>
  <si>
    <t>P966H767</t>
  </si>
  <si>
    <t>Tapono</t>
  </si>
  <si>
    <t>H289H859</t>
  </si>
  <si>
    <t>Pinicafelu</t>
  </si>
  <si>
    <t>P412H776</t>
  </si>
  <si>
    <t>Pemecu</t>
  </si>
  <si>
    <t>P271H867</t>
  </si>
  <si>
    <t>Gerinovo</t>
  </si>
  <si>
    <t>P615H932</t>
  </si>
  <si>
    <t>Gigopego</t>
  </si>
  <si>
    <t>H737P774</t>
  </si>
  <si>
    <t>Vupona</t>
  </si>
  <si>
    <t>P413H448</t>
  </si>
  <si>
    <t>Vimevipa</t>
  </si>
  <si>
    <t>H388P351</t>
  </si>
  <si>
    <t>Didipipipa</t>
  </si>
  <si>
    <t>P246H473</t>
  </si>
  <si>
    <t>Doragoda</t>
  </si>
  <si>
    <t>H337H237</t>
  </si>
  <si>
    <t>Talumevi</t>
  </si>
  <si>
    <t>H183P962</t>
  </si>
  <si>
    <t>Nocepe</t>
  </si>
  <si>
    <t>P657H762</t>
  </si>
  <si>
    <t>Niduvife</t>
  </si>
  <si>
    <t>P484P888</t>
  </si>
  <si>
    <t>Lenepo</t>
  </si>
  <si>
    <t>H162H773</t>
  </si>
  <si>
    <t>Falatanaro</t>
  </si>
  <si>
    <t>P245H349</t>
  </si>
  <si>
    <t>Gopenemo</t>
  </si>
  <si>
    <t>H155P441</t>
  </si>
  <si>
    <t>Revitepeva</t>
  </si>
  <si>
    <t>P594H515</t>
  </si>
  <si>
    <t>Tutilapu</t>
  </si>
  <si>
    <t>H588H384</t>
  </si>
  <si>
    <t>Locupapari</t>
  </si>
  <si>
    <t>H541H673</t>
  </si>
  <si>
    <t>Norapini</t>
  </si>
  <si>
    <t>H511P689</t>
  </si>
  <si>
    <t>Natocopeto</t>
  </si>
  <si>
    <t>P351H257</t>
  </si>
  <si>
    <t>Picofofupe</t>
  </si>
  <si>
    <t>H571H378</t>
  </si>
  <si>
    <t>Pigafa</t>
  </si>
  <si>
    <t>P586P465</t>
  </si>
  <si>
    <t>Gucuto</t>
  </si>
  <si>
    <t>P867P994</t>
  </si>
  <si>
    <t>Panulu</t>
  </si>
  <si>
    <t>H816P917</t>
  </si>
  <si>
    <t>Panatite</t>
  </si>
  <si>
    <t>P113P453</t>
  </si>
  <si>
    <t>Merili</t>
  </si>
  <si>
    <t>P699P339</t>
  </si>
  <si>
    <t>Padivige</t>
  </si>
  <si>
    <t>H797P781</t>
  </si>
  <si>
    <t>Rupone</t>
  </si>
  <si>
    <t>P379H933</t>
  </si>
  <si>
    <t>Nutecidipo</t>
  </si>
  <si>
    <t>P673H559</t>
  </si>
  <si>
    <t>Matalupa</t>
  </si>
  <si>
    <t>H978H862</t>
  </si>
  <si>
    <t>Pifonilocu</t>
  </si>
  <si>
    <t>H373H317</t>
  </si>
  <si>
    <t>Cirefapu</t>
  </si>
  <si>
    <t>H824P368</t>
  </si>
  <si>
    <t>Pecunanuni</t>
  </si>
  <si>
    <t>H974H915</t>
  </si>
  <si>
    <t>Patedata</t>
  </si>
  <si>
    <t>P811P375</t>
  </si>
  <si>
    <t>Motivevuli</t>
  </si>
  <si>
    <t>H513H946</t>
  </si>
  <si>
    <t>Relepa</t>
  </si>
  <si>
    <t>H651P278</t>
  </si>
  <si>
    <t>Ponute</t>
  </si>
  <si>
    <t>P938H881</t>
  </si>
  <si>
    <t>Legera</t>
  </si>
  <si>
    <t>P877H866</t>
  </si>
  <si>
    <t>Fefepo</t>
  </si>
  <si>
    <t>H734H553</t>
  </si>
  <si>
    <t>Perapopo</t>
  </si>
  <si>
    <t>H174P674</t>
  </si>
  <si>
    <t>Dateru</t>
  </si>
  <si>
    <t>P128H216</t>
  </si>
  <si>
    <t>Rogipo</t>
  </si>
  <si>
    <t>P772H365</t>
  </si>
  <si>
    <t>Picolune</t>
  </si>
  <si>
    <t>H693P525</t>
  </si>
  <si>
    <t>Titopipu</t>
  </si>
  <si>
    <t>H173H186</t>
  </si>
  <si>
    <t>Dopedu</t>
  </si>
  <si>
    <t>H559P423</t>
  </si>
  <si>
    <t>Govodipida</t>
  </si>
  <si>
    <t>P363H472</t>
  </si>
  <si>
    <t>Maretidi</t>
  </si>
  <si>
    <t>P685H225</t>
  </si>
  <si>
    <t>Patuterete</t>
  </si>
  <si>
    <t>H574H914</t>
  </si>
  <si>
    <t>Vaconace</t>
  </si>
  <si>
    <t>P374H313</t>
  </si>
  <si>
    <t>Feteti</t>
  </si>
  <si>
    <t>P276H148</t>
  </si>
  <si>
    <t>Vogede</t>
  </si>
  <si>
    <t>H954P336</t>
  </si>
  <si>
    <t>Legiti</t>
  </si>
  <si>
    <t>H332H988</t>
  </si>
  <si>
    <t>Remavilame</t>
  </si>
  <si>
    <t>P758P848</t>
  </si>
  <si>
    <t>Rolovugalo</t>
  </si>
  <si>
    <t>H796H216</t>
  </si>
  <si>
    <t>Rupete</t>
  </si>
  <si>
    <t>P526H675</t>
  </si>
  <si>
    <t>Togorucu</t>
  </si>
  <si>
    <t>H362P349</t>
  </si>
  <si>
    <t>Giroto</t>
  </si>
  <si>
    <t>H579H719</t>
  </si>
  <si>
    <t>Pituviva</t>
  </si>
  <si>
    <t>P981H977</t>
  </si>
  <si>
    <t>Midaporeru</t>
  </si>
  <si>
    <t>P656H525</t>
  </si>
  <si>
    <t>Potataceme</t>
  </si>
  <si>
    <t>H146P647</t>
  </si>
  <si>
    <t>Ditepefotu</t>
  </si>
  <si>
    <t>P476H857</t>
  </si>
  <si>
    <t>Vipata</t>
  </si>
  <si>
    <t>H799P781</t>
  </si>
  <si>
    <t>Cudapa</t>
  </si>
  <si>
    <t>P833P457</t>
  </si>
  <si>
    <t>Vutuca</t>
  </si>
  <si>
    <t>H579H196</t>
  </si>
  <si>
    <t>Tipufira</t>
  </si>
  <si>
    <t>H365H648</t>
  </si>
  <si>
    <t>Rupotarofo</t>
  </si>
  <si>
    <t>H612P644</t>
  </si>
  <si>
    <t>Tetepi</t>
  </si>
  <si>
    <t>P973H167</t>
  </si>
  <si>
    <t>Celipa</t>
  </si>
  <si>
    <t>H397H893</t>
  </si>
  <si>
    <t>Rutapodu</t>
  </si>
  <si>
    <t>H866P379</t>
  </si>
  <si>
    <t>Pinutotu</t>
  </si>
  <si>
    <t>P867H739</t>
  </si>
  <si>
    <t>Vepaloro</t>
  </si>
  <si>
    <t>P231P927</t>
  </si>
  <si>
    <t>Vorafapora</t>
  </si>
  <si>
    <t>H122H165</t>
  </si>
  <si>
    <t>Vovopa</t>
  </si>
  <si>
    <t>H667H962</t>
  </si>
  <si>
    <t>Rurine</t>
  </si>
  <si>
    <t>P378H963</t>
  </si>
  <si>
    <t>Guratato</t>
  </si>
  <si>
    <t>P567H778</t>
  </si>
  <si>
    <t>Fopugufidi</t>
  </si>
  <si>
    <t>H892P386</t>
  </si>
  <si>
    <t>Cogate</t>
  </si>
  <si>
    <t>H253H598</t>
  </si>
  <si>
    <t>Pinevene</t>
  </si>
  <si>
    <t>P766H336</t>
  </si>
  <si>
    <t>Leriru</t>
  </si>
  <si>
    <t>P116H188</t>
  </si>
  <si>
    <t>Rufinaci</t>
  </si>
  <si>
    <t>P588P726</t>
  </si>
  <si>
    <t>Daloro</t>
  </si>
  <si>
    <t>P897H455</t>
  </si>
  <si>
    <t>Vupodadu</t>
  </si>
  <si>
    <t>H914P455</t>
  </si>
  <si>
    <t>Popapepori</t>
  </si>
  <si>
    <t>P835P397</t>
  </si>
  <si>
    <t>Rigoripa</t>
  </si>
  <si>
    <t>H715H628</t>
  </si>
  <si>
    <t>Titodulato</t>
  </si>
  <si>
    <t>H755H926</t>
  </si>
  <si>
    <t>Dumumodato</t>
  </si>
  <si>
    <t>H453P963</t>
  </si>
  <si>
    <t>Rupamomepo</t>
  </si>
  <si>
    <t>H668H498</t>
  </si>
  <si>
    <t>Pipapi</t>
  </si>
  <si>
    <t>H698H234</t>
  </si>
  <si>
    <t>Titufu</t>
  </si>
  <si>
    <t>P334H795</t>
  </si>
  <si>
    <t>Ciculi</t>
  </si>
  <si>
    <t>H719P191</t>
  </si>
  <si>
    <t>Cimafivovi</t>
  </si>
  <si>
    <t>P217H553</t>
  </si>
  <si>
    <t>Rididu</t>
  </si>
  <si>
    <t>H733P883</t>
  </si>
  <si>
    <t>Nipegaruva</t>
  </si>
  <si>
    <t>H663P541</t>
  </si>
  <si>
    <t>Geravapi</t>
  </si>
  <si>
    <t>H364P979</t>
  </si>
  <si>
    <t>Divopufole</t>
  </si>
  <si>
    <t>P625P987</t>
  </si>
  <si>
    <t>Pifuci</t>
  </si>
  <si>
    <t>H249P844</t>
  </si>
  <si>
    <t>Nurotafito</t>
  </si>
  <si>
    <t>P442H719</t>
  </si>
  <si>
    <t>Cagutoto</t>
  </si>
  <si>
    <t>P117P671</t>
  </si>
  <si>
    <t>Panefetoro</t>
  </si>
  <si>
    <t>P236P458</t>
  </si>
  <si>
    <t>Notaniramo</t>
  </si>
  <si>
    <t>H365P118</t>
  </si>
  <si>
    <t>Tufepamo</t>
  </si>
  <si>
    <t>P144P463</t>
  </si>
  <si>
    <t>Picuta</t>
  </si>
  <si>
    <t>P684P885</t>
  </si>
  <si>
    <t>Putataga</t>
  </si>
  <si>
    <t>H524H563</t>
  </si>
  <si>
    <t>Picicunepi</t>
  </si>
  <si>
    <t>H179H927</t>
  </si>
  <si>
    <t>Gatale</t>
  </si>
  <si>
    <t>H181P646</t>
  </si>
  <si>
    <t>Pepevaco</t>
  </si>
  <si>
    <t>P194H768</t>
  </si>
  <si>
    <t>Rigaromipo</t>
  </si>
  <si>
    <t>P676H938</t>
  </si>
  <si>
    <t>Furifeciti</t>
  </si>
  <si>
    <t>P221H333</t>
  </si>
  <si>
    <t>Tupogudi</t>
  </si>
  <si>
    <t>P381H662</t>
  </si>
  <si>
    <t>Rutaga</t>
  </si>
  <si>
    <t>P813P966</t>
  </si>
  <si>
    <t>Padeparece</t>
  </si>
  <si>
    <t>H545P464</t>
  </si>
  <si>
    <t>Pupufu</t>
  </si>
  <si>
    <t>H453P286</t>
  </si>
  <si>
    <t>Cenani</t>
  </si>
  <si>
    <t>P696P986</t>
  </si>
  <si>
    <t>Videgete</t>
  </si>
  <si>
    <t>H516P211</t>
  </si>
  <si>
    <t>Tacirima</t>
  </si>
  <si>
    <t>H695H597</t>
  </si>
  <si>
    <t>Retinu</t>
  </si>
  <si>
    <t>P169P521</t>
  </si>
  <si>
    <t>Todifi</t>
  </si>
  <si>
    <t>H163P391</t>
  </si>
  <si>
    <t>Rutorudura</t>
  </si>
  <si>
    <t>H391H278</t>
  </si>
  <si>
    <t>Cepimefe</t>
  </si>
  <si>
    <t>P442P856</t>
  </si>
  <si>
    <t>Dureci</t>
  </si>
  <si>
    <t>P489P926</t>
  </si>
  <si>
    <t>Fapudulipi</t>
  </si>
  <si>
    <t>H327H766</t>
  </si>
  <si>
    <t>Fimavi</t>
  </si>
  <si>
    <t>H782P529</t>
  </si>
  <si>
    <t>Lifidonore</t>
  </si>
  <si>
    <t>H366H412</t>
  </si>
  <si>
    <t>Tipomifore</t>
  </si>
  <si>
    <t>H554H462</t>
  </si>
  <si>
    <t>Peripu</t>
  </si>
  <si>
    <t>P158P842</t>
  </si>
  <si>
    <t>Toperuvutu</t>
  </si>
  <si>
    <t>P577P867</t>
  </si>
  <si>
    <t>Virilu</t>
  </si>
  <si>
    <t>P549P422</t>
  </si>
  <si>
    <t>Piparigiri</t>
  </si>
  <si>
    <t>P498H183</t>
  </si>
  <si>
    <t>Ropopu</t>
  </si>
  <si>
    <t>P481P357</t>
  </si>
  <si>
    <t>Laralelu</t>
  </si>
  <si>
    <t>P962H554</t>
  </si>
  <si>
    <t>Ticatu</t>
  </si>
  <si>
    <t>P217H495</t>
  </si>
  <si>
    <t>Muvevolago</t>
  </si>
  <si>
    <t>P145P733</t>
  </si>
  <si>
    <t>Riduri</t>
  </si>
  <si>
    <t>P836H527</t>
  </si>
  <si>
    <t>Rolaru</t>
  </si>
  <si>
    <t>H999H727</t>
  </si>
  <si>
    <t>Patupogi</t>
  </si>
  <si>
    <t>P552P954</t>
  </si>
  <si>
    <t>Recoruguli</t>
  </si>
  <si>
    <t>H995H517</t>
  </si>
  <si>
    <t>Rapicu</t>
  </si>
  <si>
    <t>P268P438</t>
  </si>
  <si>
    <t>Ponolape</t>
  </si>
  <si>
    <t>H217H485</t>
  </si>
  <si>
    <t>Lerumelule</t>
  </si>
  <si>
    <t>P693H457</t>
  </si>
  <si>
    <t>Rutigepi</t>
  </si>
  <si>
    <t>P138H156</t>
  </si>
  <si>
    <t>Vanifo</t>
  </si>
  <si>
    <t>P541P445</t>
  </si>
  <si>
    <t>Ramurani</t>
  </si>
  <si>
    <t>H461H116</t>
  </si>
  <si>
    <t>Nepeciraca</t>
  </si>
  <si>
    <t>P775P174</t>
  </si>
  <si>
    <t>Tupugatipo</t>
  </si>
  <si>
    <t>P587P952</t>
  </si>
  <si>
    <t>Vocicuvo</t>
  </si>
  <si>
    <t>H254H637</t>
  </si>
  <si>
    <t>Pefaperefi</t>
  </si>
  <si>
    <t>H887P635</t>
  </si>
  <si>
    <t>Roramapali</t>
  </si>
  <si>
    <t>H522P534</t>
  </si>
  <si>
    <t>Ticofavuru</t>
  </si>
  <si>
    <t>P484H532</t>
  </si>
  <si>
    <t>Tugafacumi</t>
  </si>
  <si>
    <t>P915P867</t>
  </si>
  <si>
    <t>Fifutu</t>
  </si>
  <si>
    <t>P466P283</t>
  </si>
  <si>
    <t>Cerecede</t>
  </si>
  <si>
    <t>P692P413</t>
  </si>
  <si>
    <t>Raguroto</t>
  </si>
  <si>
    <t>P291P616</t>
  </si>
  <si>
    <t>Letenuge</t>
  </si>
  <si>
    <t>P627H652</t>
  </si>
  <si>
    <t>Dapicutigi</t>
  </si>
  <si>
    <t>P582P486</t>
  </si>
  <si>
    <t>Coporotare</t>
  </si>
  <si>
    <t>P675P712</t>
  </si>
  <si>
    <t>Tepure</t>
  </si>
  <si>
    <t>P673P938</t>
  </si>
  <si>
    <t>Ruvegegu</t>
  </si>
  <si>
    <t>P954H526</t>
  </si>
  <si>
    <t>Potepeto</t>
  </si>
  <si>
    <t>H693P162</t>
  </si>
  <si>
    <t>Tipure</t>
  </si>
  <si>
    <t>H756P439</t>
  </si>
  <si>
    <t>Noverada</t>
  </si>
  <si>
    <t>P866P423</t>
  </si>
  <si>
    <t>Mimopurite</t>
  </si>
  <si>
    <t>P825H764</t>
  </si>
  <si>
    <t>Falacoro</t>
  </si>
  <si>
    <t>P754H795</t>
  </si>
  <si>
    <t>Tegodo</t>
  </si>
  <si>
    <t>H112H485</t>
  </si>
  <si>
    <t>Giritipi</t>
  </si>
  <si>
    <t>H224P217</t>
  </si>
  <si>
    <t>Davapudemi</t>
  </si>
  <si>
    <t>P944H569</t>
  </si>
  <si>
    <t>Tinavarivo</t>
  </si>
  <si>
    <t>H262H835</t>
  </si>
  <si>
    <t>Gutepocema</t>
  </si>
  <si>
    <t>P415P692</t>
  </si>
  <si>
    <t>Dopudane</t>
  </si>
  <si>
    <t>H285H182</t>
  </si>
  <si>
    <t>Cedorodeti</t>
  </si>
  <si>
    <t>P264P829</t>
  </si>
  <si>
    <t>Gipapefo</t>
  </si>
  <si>
    <t>H377P638</t>
  </si>
  <si>
    <t>Pilocora</t>
  </si>
  <si>
    <t>H717P656</t>
  </si>
  <si>
    <t>Teripore</t>
  </si>
  <si>
    <t>H985P951</t>
  </si>
  <si>
    <t>Rulufanupe</t>
  </si>
  <si>
    <t>H714P951</t>
  </si>
  <si>
    <t>Pediduruva</t>
  </si>
  <si>
    <t>H221H523</t>
  </si>
  <si>
    <t>Tirunodofi</t>
  </si>
  <si>
    <t>P468H836</t>
  </si>
  <si>
    <t>Tupamifeme</t>
  </si>
  <si>
    <t>H786P866</t>
  </si>
  <si>
    <t>Gototopi</t>
  </si>
  <si>
    <t>P662H236</t>
  </si>
  <si>
    <t>Pupoduride</t>
  </si>
  <si>
    <t>H921P822</t>
  </si>
  <si>
    <t>Malutapore</t>
  </si>
  <si>
    <t>P145P584</t>
  </si>
  <si>
    <t>Gecopela</t>
  </si>
  <si>
    <t>P172H232</t>
  </si>
  <si>
    <t>Lopogetovi</t>
  </si>
  <si>
    <t>H547P237</t>
  </si>
  <si>
    <t>Cetito</t>
  </si>
  <si>
    <t>P254P772</t>
  </si>
  <si>
    <t>Vinamomepu</t>
  </si>
  <si>
    <t>P228P946</t>
  </si>
  <si>
    <t>Picupideta</t>
  </si>
  <si>
    <t>P228P629</t>
  </si>
  <si>
    <t>Vagagape</t>
  </si>
  <si>
    <t>H699P176</t>
  </si>
  <si>
    <t>Vitagu</t>
  </si>
  <si>
    <t>H635P832</t>
  </si>
  <si>
    <t>Darofe</t>
  </si>
  <si>
    <t>P623P243</t>
  </si>
  <si>
    <t>Pugulumovu</t>
  </si>
  <si>
    <t>P889P674</t>
  </si>
  <si>
    <t>Totupiduvo</t>
  </si>
  <si>
    <t>H432H579</t>
  </si>
  <si>
    <t>Dutafupafu</t>
  </si>
  <si>
    <t>P151P424</t>
  </si>
  <si>
    <t>Popigerili</t>
  </si>
  <si>
    <t>H627P861</t>
  </si>
  <si>
    <t>Tecapanita</t>
  </si>
  <si>
    <t>P726H926</t>
  </si>
  <si>
    <t>Dicadipita</t>
  </si>
  <si>
    <t>P841P895</t>
  </si>
  <si>
    <t>Lopicodi</t>
  </si>
  <si>
    <t>H269H697</t>
  </si>
  <si>
    <t>Vetala</t>
  </si>
  <si>
    <t>H775P499</t>
  </si>
  <si>
    <t>Rerucimi</t>
  </si>
  <si>
    <t>P188H741</t>
  </si>
  <si>
    <t>Cofepipa</t>
  </si>
  <si>
    <t>P625P483</t>
  </si>
  <si>
    <t>Mafora</t>
  </si>
  <si>
    <t>P945P587</t>
  </si>
  <si>
    <t>Titecevu</t>
  </si>
  <si>
    <t>P295P974</t>
  </si>
  <si>
    <t>Tepogigiro</t>
  </si>
  <si>
    <t>H877P957</t>
  </si>
  <si>
    <t>Murapo</t>
  </si>
  <si>
    <t>P442H637</t>
  </si>
  <si>
    <t>Lotopu</t>
  </si>
  <si>
    <t>H111P149</t>
  </si>
  <si>
    <t>Ronapunoco</t>
  </si>
  <si>
    <t>P441H454</t>
  </si>
  <si>
    <t>Moravaratu</t>
  </si>
  <si>
    <t>P636H897</t>
  </si>
  <si>
    <t>Racoca</t>
  </si>
  <si>
    <t>H825P984</t>
  </si>
  <si>
    <t>Roponunude</t>
  </si>
  <si>
    <t>P272P373</t>
  </si>
  <si>
    <t>Gocole</t>
  </si>
  <si>
    <t>H823P635</t>
  </si>
  <si>
    <t>Timapi</t>
  </si>
  <si>
    <t>H527H511</t>
  </si>
  <si>
    <t>Pavapo</t>
  </si>
  <si>
    <t>H598H565</t>
  </si>
  <si>
    <t>Pulipipo</t>
  </si>
  <si>
    <t>H156P773</t>
  </si>
  <si>
    <t>Cifavava</t>
  </si>
  <si>
    <t>H473P162</t>
  </si>
  <si>
    <t>Pevora</t>
  </si>
  <si>
    <t>P156P922</t>
  </si>
  <si>
    <t>Remalupopi</t>
  </si>
  <si>
    <t>P464H619</t>
  </si>
  <si>
    <t>Guteda</t>
  </si>
  <si>
    <t>P511P453</t>
  </si>
  <si>
    <t>Vitunora</t>
  </si>
  <si>
    <t>H142P529</t>
  </si>
  <si>
    <t>Futitano</t>
  </si>
  <si>
    <t>P785P334</t>
  </si>
  <si>
    <t>Gemigi</t>
  </si>
  <si>
    <t>H546P862</t>
  </si>
  <si>
    <t>Nolunotali</t>
  </si>
  <si>
    <t>H196P767</t>
  </si>
  <si>
    <t>Pepapu</t>
  </si>
  <si>
    <t>P374H431</t>
  </si>
  <si>
    <t>Fopurama</t>
  </si>
  <si>
    <t>H416H823</t>
  </si>
  <si>
    <t>Vigeva</t>
  </si>
  <si>
    <t>H695H871</t>
  </si>
  <si>
    <t>Nunitipite</t>
  </si>
  <si>
    <t>H169H251</t>
  </si>
  <si>
    <t>Ripevali</t>
  </si>
  <si>
    <t>H875P343</t>
  </si>
  <si>
    <t>Puvoca</t>
  </si>
  <si>
    <t>P379H325</t>
  </si>
  <si>
    <t>Pidodida</t>
  </si>
  <si>
    <t>H436H794</t>
  </si>
  <si>
    <t>Farilare</t>
  </si>
  <si>
    <t>H281H519</t>
  </si>
  <si>
    <t>Vututa</t>
  </si>
  <si>
    <t>P451H951</t>
  </si>
  <si>
    <t>Redonu</t>
  </si>
  <si>
    <t>H812H424</t>
  </si>
  <si>
    <t>Rotipu</t>
  </si>
  <si>
    <t>P794P757</t>
  </si>
  <si>
    <t>Virupo</t>
  </si>
  <si>
    <t>H194H546</t>
  </si>
  <si>
    <t>Cepapefi</t>
  </si>
  <si>
    <t>P273H296</t>
  </si>
  <si>
    <t>Ramiro</t>
  </si>
  <si>
    <t>P658H527</t>
  </si>
  <si>
    <t>Povomopope</t>
  </si>
  <si>
    <t>H177H985</t>
  </si>
  <si>
    <t>Penutamepu</t>
  </si>
  <si>
    <t>H568H488</t>
  </si>
  <si>
    <t>Licalumoge</t>
  </si>
  <si>
    <t>H254H993</t>
  </si>
  <si>
    <t>Pepapulapi</t>
  </si>
  <si>
    <t>P364P434</t>
  </si>
  <si>
    <t>Vepova</t>
  </si>
  <si>
    <t>H834H891</t>
  </si>
  <si>
    <t>Turopufu</t>
  </si>
  <si>
    <t>H266P977</t>
  </si>
  <si>
    <t>Nufotitage</t>
  </si>
  <si>
    <t>P444H756</t>
  </si>
  <si>
    <t>Tipepero</t>
  </si>
  <si>
    <t>H972P965</t>
  </si>
  <si>
    <t>Teperenepa</t>
  </si>
  <si>
    <t>P764P375</t>
  </si>
  <si>
    <t>Netipano</t>
  </si>
  <si>
    <t>H618H877</t>
  </si>
  <si>
    <t>Palamutupu</t>
  </si>
  <si>
    <t>P722H554</t>
  </si>
  <si>
    <t>Rutote</t>
  </si>
  <si>
    <t>H251H356</t>
  </si>
  <si>
    <t>Conupopire</t>
  </si>
  <si>
    <t>P645H914</t>
  </si>
  <si>
    <t>Terucinide</t>
  </si>
  <si>
    <t>P829H559</t>
  </si>
  <si>
    <t>Movopa</t>
  </si>
  <si>
    <t>P941P945</t>
  </si>
  <si>
    <t>Fenocete</t>
  </si>
  <si>
    <t>H696H439</t>
  </si>
  <si>
    <t>Pupuponi</t>
  </si>
  <si>
    <t>H893H846</t>
  </si>
  <si>
    <t>Popiro</t>
  </si>
  <si>
    <t>H818H356</t>
  </si>
  <si>
    <t>Lurucera</t>
  </si>
  <si>
    <t>P884H564</t>
  </si>
  <si>
    <t>Darepitono</t>
  </si>
  <si>
    <t>P442H659</t>
  </si>
  <si>
    <t>Vepacopeco</t>
  </si>
  <si>
    <t>P773H617</t>
  </si>
  <si>
    <t>Firarepe</t>
  </si>
  <si>
    <t>H784P724</t>
  </si>
  <si>
    <t>Daripupalu</t>
  </si>
  <si>
    <t>P231H291</t>
  </si>
  <si>
    <t>Mapoditivi</t>
  </si>
  <si>
    <t>H761P235</t>
  </si>
  <si>
    <t>Turifa</t>
  </si>
  <si>
    <t>H792H249</t>
  </si>
  <si>
    <t>Natorofa</t>
  </si>
  <si>
    <t>P499P841</t>
  </si>
  <si>
    <t>Fopece</t>
  </si>
  <si>
    <t>P476P866</t>
  </si>
  <si>
    <t>Telivida</t>
  </si>
  <si>
    <t>H774P356</t>
  </si>
  <si>
    <t>Punarovivu</t>
  </si>
  <si>
    <t>H782P281</t>
  </si>
  <si>
    <t>Molenaropi</t>
  </si>
  <si>
    <t>P727P688</t>
  </si>
  <si>
    <t>Pupifara</t>
  </si>
  <si>
    <t>P397P876</t>
  </si>
  <si>
    <t>Denapupu</t>
  </si>
  <si>
    <t>H922P983</t>
  </si>
  <si>
    <t>Nelacoge</t>
  </si>
  <si>
    <t>P345P277</t>
  </si>
  <si>
    <t>Pipumipera</t>
  </si>
  <si>
    <t>P375H415</t>
  </si>
  <si>
    <t>Pulute</t>
  </si>
  <si>
    <t>H958P464</t>
  </si>
  <si>
    <t>Pegolugodu</t>
  </si>
  <si>
    <t>H591H286</t>
  </si>
  <si>
    <t>Lutofe</t>
  </si>
  <si>
    <t>H792P299</t>
  </si>
  <si>
    <t>Ticifope</t>
  </si>
  <si>
    <t>H298H352</t>
  </si>
  <si>
    <t>Tirepurori</t>
  </si>
  <si>
    <t>P117H298</t>
  </si>
  <si>
    <t>Tinale</t>
  </si>
  <si>
    <t>P149P222</t>
  </si>
  <si>
    <t>Fuvetuna</t>
  </si>
  <si>
    <t>P679P787</t>
  </si>
  <si>
    <t>Pepipero</t>
  </si>
  <si>
    <t>P296P468</t>
  </si>
  <si>
    <t>Tacugepape</t>
  </si>
  <si>
    <t>H222H434</t>
  </si>
  <si>
    <t>Fonerito</t>
  </si>
  <si>
    <t>H457P168</t>
  </si>
  <si>
    <t>Gamape</t>
  </si>
  <si>
    <t>H237P392</t>
  </si>
  <si>
    <t>Nodemutumi</t>
  </si>
  <si>
    <t>P958H858</t>
  </si>
  <si>
    <t>Ditotu</t>
  </si>
  <si>
    <t>P391P742</t>
  </si>
  <si>
    <t>Gumega</t>
  </si>
  <si>
    <t>P431P646</t>
  </si>
  <si>
    <t>Racunu</t>
  </si>
  <si>
    <t>P322H111</t>
  </si>
  <si>
    <t>Lapuvoca</t>
  </si>
  <si>
    <t>P241H848</t>
  </si>
  <si>
    <t>Tagatiripo</t>
  </si>
  <si>
    <t>H479H132</t>
  </si>
  <si>
    <t>Locide</t>
  </si>
  <si>
    <t>P623P698</t>
  </si>
  <si>
    <t>Pugodapero</t>
  </si>
  <si>
    <t>P382P814</t>
  </si>
  <si>
    <t>Fupipara</t>
  </si>
  <si>
    <t>H873P648</t>
  </si>
  <si>
    <t>Rapetata</t>
  </si>
  <si>
    <t>P656P161</t>
  </si>
  <si>
    <t>Mepore</t>
  </si>
  <si>
    <t>H393H396</t>
  </si>
  <si>
    <t>Gemefa</t>
  </si>
  <si>
    <t>H686H447</t>
  </si>
  <si>
    <t>Dipotifure</t>
  </si>
  <si>
    <t>H865P536</t>
  </si>
  <si>
    <t>Vetoporotu</t>
  </si>
  <si>
    <t>H852P462</t>
  </si>
  <si>
    <t>Mopilagopu</t>
  </si>
  <si>
    <t>P826H536</t>
  </si>
  <si>
    <t>Riteti</t>
  </si>
  <si>
    <t>H716H716</t>
  </si>
  <si>
    <t>Perucife</t>
  </si>
  <si>
    <t>P824P384</t>
  </si>
  <si>
    <t>Tupevi</t>
  </si>
  <si>
    <t>P116P543</t>
  </si>
  <si>
    <t>Parilevu</t>
  </si>
  <si>
    <t>H994P121</t>
  </si>
  <si>
    <t>Toduti</t>
  </si>
  <si>
    <t>P112P346</t>
  </si>
  <si>
    <t>Legomonore</t>
  </si>
  <si>
    <t>P969H488</t>
  </si>
  <si>
    <t>Voponupi</t>
  </si>
  <si>
    <t>H711P771</t>
  </si>
  <si>
    <t>Nuriro</t>
  </si>
  <si>
    <t>P152H967</t>
  </si>
  <si>
    <t>Motufidatu</t>
  </si>
  <si>
    <t>P318P546</t>
  </si>
  <si>
    <t>Noladegeno</t>
  </si>
  <si>
    <t>P617H843</t>
  </si>
  <si>
    <t>Tovugica</t>
  </si>
  <si>
    <t>H744P717</t>
  </si>
  <si>
    <t>Davidota</t>
  </si>
  <si>
    <t>H828H355</t>
  </si>
  <si>
    <t>Donuvorite</t>
  </si>
  <si>
    <t>P835P236</t>
  </si>
  <si>
    <t>Pucifavore</t>
  </si>
  <si>
    <t>P199H735</t>
  </si>
  <si>
    <t>Nipopago</t>
  </si>
  <si>
    <t>H826H986</t>
  </si>
  <si>
    <t>Teparavuti</t>
  </si>
  <si>
    <t>H979H177</t>
  </si>
  <si>
    <t>Fifepatutu</t>
  </si>
  <si>
    <t>P395P161</t>
  </si>
  <si>
    <t>Dipovativo</t>
  </si>
  <si>
    <t>P966H113</t>
  </si>
  <si>
    <t>Leletafu</t>
  </si>
  <si>
    <t>P181H857</t>
  </si>
  <si>
    <t>Papura</t>
  </si>
  <si>
    <t>H771P541</t>
  </si>
  <si>
    <t>Tidavito</t>
  </si>
  <si>
    <t>P714P568</t>
  </si>
  <si>
    <t>Rucalidepe</t>
  </si>
  <si>
    <t>P726H553</t>
  </si>
  <si>
    <t>Tagopude</t>
  </si>
  <si>
    <t>P853H932</t>
  </si>
  <si>
    <t>Tugatutapo</t>
  </si>
  <si>
    <t>P753H712</t>
  </si>
  <si>
    <t>Mumelapopi</t>
  </si>
  <si>
    <t>H227P936</t>
  </si>
  <si>
    <t>Lefipetegi</t>
  </si>
  <si>
    <t>H491H223</t>
  </si>
  <si>
    <t>Vapetu</t>
  </si>
  <si>
    <t>H658P127</t>
  </si>
  <si>
    <t>Ticeru</t>
  </si>
  <si>
    <t>P211P731</t>
  </si>
  <si>
    <t>Domoropiru</t>
  </si>
  <si>
    <t>H112P979</t>
  </si>
  <si>
    <t>Cafidupi</t>
  </si>
  <si>
    <t>P266P976</t>
  </si>
  <si>
    <t>Pafumeludu</t>
  </si>
  <si>
    <t>H816P296</t>
  </si>
  <si>
    <t>Pefunotifa</t>
  </si>
  <si>
    <t>H863P859</t>
  </si>
  <si>
    <t>Fupeva</t>
  </si>
  <si>
    <t>H524H998</t>
  </si>
  <si>
    <t>Pofenepo</t>
  </si>
  <si>
    <t>P672H344</t>
  </si>
  <si>
    <t>Lofevoma</t>
  </si>
  <si>
    <t>H341P674</t>
  </si>
  <si>
    <t>Lugeno</t>
  </si>
  <si>
    <t>H968H118</t>
  </si>
  <si>
    <t>Palelemo</t>
  </si>
  <si>
    <t>P832P234</t>
  </si>
  <si>
    <t>Pogala</t>
  </si>
  <si>
    <t>P428H716</t>
  </si>
  <si>
    <t>Vavecari</t>
  </si>
  <si>
    <t>P996P577</t>
  </si>
  <si>
    <t>Nuvipu</t>
  </si>
  <si>
    <t>P519P522</t>
  </si>
  <si>
    <t>Togari</t>
  </si>
  <si>
    <t>H549H789</t>
  </si>
  <si>
    <t>Mudepopa</t>
  </si>
  <si>
    <t>H744H755</t>
  </si>
  <si>
    <t>Nepega</t>
  </si>
  <si>
    <t>P456H172</t>
  </si>
  <si>
    <t>Rurule</t>
  </si>
  <si>
    <t>H873H985</t>
  </si>
  <si>
    <t>Pecuropelu</t>
  </si>
  <si>
    <t>H236H877</t>
  </si>
  <si>
    <t>Tupagada</t>
  </si>
  <si>
    <t>P422H219</t>
  </si>
  <si>
    <t>Nelito</t>
  </si>
  <si>
    <t>P944H411</t>
  </si>
  <si>
    <t>Maputa</t>
  </si>
  <si>
    <t>P854P273</t>
  </si>
  <si>
    <t>Dotufirono</t>
  </si>
  <si>
    <t>P787P899</t>
  </si>
  <si>
    <t>Turureguru</t>
  </si>
  <si>
    <t>P214H687</t>
  </si>
  <si>
    <t>Denufo</t>
  </si>
  <si>
    <t>H278H465</t>
  </si>
  <si>
    <t>Cipati</t>
  </si>
  <si>
    <t>P774P491</t>
  </si>
  <si>
    <t>Polidato</t>
  </si>
  <si>
    <t>P199H831</t>
  </si>
  <si>
    <t>Paridedi</t>
  </si>
  <si>
    <t>P893P377</t>
  </si>
  <si>
    <t>Lupipo</t>
  </si>
  <si>
    <t>P969P642</t>
  </si>
  <si>
    <t>Pagorapule</t>
  </si>
  <si>
    <t>P218H662</t>
  </si>
  <si>
    <t>Tepifidudo</t>
  </si>
  <si>
    <t>H768P513</t>
  </si>
  <si>
    <t>Nogure</t>
  </si>
  <si>
    <t>H979P382</t>
  </si>
  <si>
    <t>Narovelo</t>
  </si>
  <si>
    <t>H859P649</t>
  </si>
  <si>
    <t>Gutelofoto</t>
  </si>
  <si>
    <t>H952H325</t>
  </si>
  <si>
    <t>Potitana</t>
  </si>
  <si>
    <t>H144H234</t>
  </si>
  <si>
    <t>Pufuce</t>
  </si>
  <si>
    <t>H448P161</t>
  </si>
  <si>
    <t>Tecipo</t>
  </si>
  <si>
    <t>P195P496</t>
  </si>
  <si>
    <t>Ralutovute</t>
  </si>
  <si>
    <t>H719P636</t>
  </si>
  <si>
    <t>Ritucapide</t>
  </si>
  <si>
    <t>H397H411</t>
  </si>
  <si>
    <t>Gomogulope</t>
  </si>
  <si>
    <t>P971H853</t>
  </si>
  <si>
    <t>Gotadopi</t>
  </si>
  <si>
    <t>P145H177</t>
  </si>
  <si>
    <t>Toniromu</t>
  </si>
  <si>
    <t>H931P917</t>
  </si>
  <si>
    <t>Mivutura</t>
  </si>
  <si>
    <t>H775P462</t>
  </si>
  <si>
    <t>Nepipe</t>
  </si>
  <si>
    <t>P985H676</t>
  </si>
  <si>
    <t>Tagunavife</t>
  </si>
  <si>
    <t>P542P947</t>
  </si>
  <si>
    <t>Panime</t>
  </si>
  <si>
    <t>H682P683</t>
  </si>
  <si>
    <t>Tapuvogoni</t>
  </si>
  <si>
    <t>H732P563</t>
  </si>
  <si>
    <t>Nemamaro</t>
  </si>
  <si>
    <t>P515P279</t>
  </si>
  <si>
    <t>Tucilori</t>
  </si>
  <si>
    <t>H481H359</t>
  </si>
  <si>
    <t>Venigo</t>
  </si>
  <si>
    <t>P695H499</t>
  </si>
  <si>
    <t>Vanatimudi</t>
  </si>
  <si>
    <t>P629H799</t>
  </si>
  <si>
    <t>Netiripa</t>
  </si>
  <si>
    <t>H165H853</t>
  </si>
  <si>
    <t>Tuvonomu</t>
  </si>
  <si>
    <t>H649P381</t>
  </si>
  <si>
    <t>Rupipu</t>
  </si>
  <si>
    <t>H615H536</t>
  </si>
  <si>
    <t>Melimi</t>
  </si>
  <si>
    <t>H668P122</t>
  </si>
  <si>
    <t>Mopavo</t>
  </si>
  <si>
    <t>H958H171</t>
  </si>
  <si>
    <t>Motocopu</t>
  </si>
  <si>
    <t>P143H569</t>
  </si>
  <si>
    <t>Gacopilodu</t>
  </si>
  <si>
    <t>P154H668</t>
  </si>
  <si>
    <t>Vetacocemi</t>
  </si>
  <si>
    <t>P622H678</t>
  </si>
  <si>
    <t>Civodu</t>
  </si>
  <si>
    <t>H693P326</t>
  </si>
  <si>
    <t>Pivurega</t>
  </si>
  <si>
    <t>H845P547</t>
  </si>
  <si>
    <t>Lilupu</t>
  </si>
  <si>
    <t>P662P591</t>
  </si>
  <si>
    <t>Mivulopu</t>
  </si>
  <si>
    <t>H779H528</t>
  </si>
  <si>
    <t>Malari</t>
  </si>
  <si>
    <t>Togupitovo</t>
  </si>
  <si>
    <t>P887P587</t>
  </si>
  <si>
    <t>Viludode</t>
  </si>
  <si>
    <t>H591P122</t>
  </si>
  <si>
    <t>Ticivireti</t>
  </si>
  <si>
    <t>P477H999</t>
  </si>
  <si>
    <t>Fetego</t>
  </si>
  <si>
    <t>H329H427</t>
  </si>
  <si>
    <t>Pudodofapu</t>
  </si>
  <si>
    <t>P426H755</t>
  </si>
  <si>
    <t>Vapice</t>
  </si>
  <si>
    <t>P298H266</t>
  </si>
  <si>
    <t>Feguro</t>
  </si>
  <si>
    <t>H188P986</t>
  </si>
  <si>
    <t>Mucavape</t>
  </si>
  <si>
    <t>P878H691</t>
  </si>
  <si>
    <t>Lelirula</t>
  </si>
  <si>
    <t>P799P735</t>
  </si>
  <si>
    <t>Redula</t>
  </si>
  <si>
    <t>P644H668</t>
  </si>
  <si>
    <t>Tafuvale</t>
  </si>
  <si>
    <t>H536P915</t>
  </si>
  <si>
    <t>Gutomo</t>
  </si>
  <si>
    <t>H664H484</t>
  </si>
  <si>
    <t>Rivonu</t>
  </si>
  <si>
    <t>P451H347</t>
  </si>
  <si>
    <t>Faparile</t>
  </si>
  <si>
    <t>H933H649</t>
  </si>
  <si>
    <t>Tacicopo</t>
  </si>
  <si>
    <t>P561P729</t>
  </si>
  <si>
    <t>Gutulapi</t>
  </si>
  <si>
    <t>H439P916</t>
  </si>
  <si>
    <t>Gurire</t>
  </si>
  <si>
    <t>H432H482</t>
  </si>
  <si>
    <t>Lumepeve</t>
  </si>
  <si>
    <t>H616P844</t>
  </si>
  <si>
    <t>Ledaru</t>
  </si>
  <si>
    <t>H253P245</t>
  </si>
  <si>
    <t>Larapiluco</t>
  </si>
  <si>
    <t>H667H892</t>
  </si>
  <si>
    <t>Palipifa</t>
  </si>
  <si>
    <t>P659H552</t>
  </si>
  <si>
    <t>Tovego</t>
  </si>
  <si>
    <t>P453H354</t>
  </si>
  <si>
    <t>Picitonoru</t>
  </si>
  <si>
    <t>H598H841</t>
  </si>
  <si>
    <t>Tufarevi</t>
  </si>
  <si>
    <t>P198P684</t>
  </si>
  <si>
    <t>Romogute</t>
  </si>
  <si>
    <t>H792H998</t>
  </si>
  <si>
    <t>Femumidetu</t>
  </si>
  <si>
    <t>H316H196</t>
  </si>
  <si>
    <t>Vugeligoma</t>
  </si>
  <si>
    <t>H822P962</t>
  </si>
  <si>
    <t>Noticota</t>
  </si>
  <si>
    <t>P832H533</t>
  </si>
  <si>
    <t>Todope</t>
  </si>
  <si>
    <t>P258P177</t>
  </si>
  <si>
    <t>Micopi</t>
  </si>
  <si>
    <t>H318P571</t>
  </si>
  <si>
    <t>Peradadupe</t>
  </si>
  <si>
    <t>H467P162</t>
  </si>
  <si>
    <t>Tipute</t>
  </si>
  <si>
    <t>H772H122</t>
  </si>
  <si>
    <t>Rurupo</t>
  </si>
  <si>
    <t>H194H919</t>
  </si>
  <si>
    <t>Pucetipi</t>
  </si>
  <si>
    <t>H387P541</t>
  </si>
  <si>
    <t>Tuvame</t>
  </si>
  <si>
    <t>P775P594</t>
  </si>
  <si>
    <t>Didefapema</t>
  </si>
  <si>
    <t>P855H895</t>
  </si>
  <si>
    <t>Mutiduroti</t>
  </si>
  <si>
    <t>H367H854</t>
  </si>
  <si>
    <t>Divitipe</t>
  </si>
  <si>
    <t>P514H932</t>
  </si>
  <si>
    <t>Lefopa</t>
  </si>
  <si>
    <t>P728H446</t>
  </si>
  <si>
    <t>Digugoleti</t>
  </si>
  <si>
    <t>H126P716</t>
  </si>
  <si>
    <t>Gufipica</t>
  </si>
  <si>
    <t>H765H166</t>
  </si>
  <si>
    <t>Lepeci</t>
  </si>
  <si>
    <t>P238H944</t>
  </si>
  <si>
    <t>Dupevo</t>
  </si>
  <si>
    <t>H848P594</t>
  </si>
  <si>
    <t>Lupopatupi</t>
  </si>
  <si>
    <t>P494P969</t>
  </si>
  <si>
    <t>Lipapicapu</t>
  </si>
  <si>
    <t>H169H399</t>
  </si>
  <si>
    <t>Cirofa</t>
  </si>
  <si>
    <t>P334P765</t>
  </si>
  <si>
    <t>Tiporitire</t>
  </si>
  <si>
    <t>P149H657</t>
  </si>
  <si>
    <t>Nulapagatu</t>
  </si>
  <si>
    <t>H225H248</t>
  </si>
  <si>
    <t>Lupeli</t>
  </si>
  <si>
    <t>H937H135</t>
  </si>
  <si>
    <t>Pomupera</t>
  </si>
  <si>
    <t>H177H693</t>
  </si>
  <si>
    <t>Titegofomi</t>
  </si>
  <si>
    <t>P163P613</t>
  </si>
  <si>
    <t>Tulicecari</t>
  </si>
  <si>
    <t>H995H211</t>
  </si>
  <si>
    <t>Netapirofa</t>
  </si>
  <si>
    <t>H576H713</t>
  </si>
  <si>
    <t>Pupegi</t>
  </si>
  <si>
    <t>P418H364</t>
  </si>
  <si>
    <t>Papagefo</t>
  </si>
  <si>
    <t>P745H219</t>
  </si>
  <si>
    <t>Ropapumu</t>
  </si>
  <si>
    <t>P445P566</t>
  </si>
  <si>
    <t>Tudofale</t>
  </si>
  <si>
    <t>H439P356</t>
  </si>
  <si>
    <t>Taduti</t>
  </si>
  <si>
    <t>H771P546</t>
  </si>
  <si>
    <t>Murufeperi</t>
  </si>
  <si>
    <t>P541H889</t>
  </si>
  <si>
    <t>Gurimo</t>
  </si>
  <si>
    <t>H796P427</t>
  </si>
  <si>
    <t>Funalaviti</t>
  </si>
  <si>
    <t>H314H979</t>
  </si>
  <si>
    <t>Nerefapi</t>
  </si>
  <si>
    <t>P938H322</t>
  </si>
  <si>
    <t>Navupegigi</t>
  </si>
  <si>
    <t>H355H334</t>
  </si>
  <si>
    <t>Perarone</t>
  </si>
  <si>
    <t>P646P241</t>
  </si>
  <si>
    <t>Tatuge</t>
  </si>
  <si>
    <t>H229P312</t>
  </si>
  <si>
    <t>Vipapo</t>
  </si>
  <si>
    <t>H823P711</t>
  </si>
  <si>
    <t>Netugi</t>
  </si>
  <si>
    <t>H355H685</t>
  </si>
  <si>
    <t>Fidemopote</t>
  </si>
  <si>
    <t>P699H925</t>
  </si>
  <si>
    <t>Rucerugora</t>
  </si>
  <si>
    <t>H631H191</t>
  </si>
  <si>
    <t>Moraramore</t>
  </si>
  <si>
    <t>P221H748</t>
  </si>
  <si>
    <t>Covodu</t>
  </si>
  <si>
    <t>H752H628</t>
  </si>
  <si>
    <t>Nutagoromu</t>
  </si>
  <si>
    <t>P143P382</t>
  </si>
  <si>
    <t>Dilurage</t>
  </si>
  <si>
    <t>H168H737</t>
  </si>
  <si>
    <t>Tipare</t>
  </si>
  <si>
    <t>H775P913</t>
  </si>
  <si>
    <t>Mofifi</t>
  </si>
  <si>
    <t>P738P663</t>
  </si>
  <si>
    <t>Totine</t>
  </si>
  <si>
    <t>P489H261</t>
  </si>
  <si>
    <t>Dotutugo</t>
  </si>
  <si>
    <t>P191P755</t>
  </si>
  <si>
    <t>Nerupiga</t>
  </si>
  <si>
    <t>P579P532</t>
  </si>
  <si>
    <t>Napupitolo</t>
  </si>
  <si>
    <t>P826P555</t>
  </si>
  <si>
    <t>Mupudave</t>
  </si>
  <si>
    <t>H776H352</t>
  </si>
  <si>
    <t>Motala</t>
  </si>
  <si>
    <t>H447P161</t>
  </si>
  <si>
    <t>Tipili</t>
  </si>
  <si>
    <t>P639P528</t>
  </si>
  <si>
    <t>Tapepo</t>
  </si>
  <si>
    <t>H175H963</t>
  </si>
  <si>
    <t>Tulagitu</t>
  </si>
  <si>
    <t>H881H797</t>
  </si>
  <si>
    <t>Nevala</t>
  </si>
  <si>
    <t>H577P729</t>
  </si>
  <si>
    <t>Tapara</t>
  </si>
  <si>
    <t>P749H273</t>
  </si>
  <si>
    <t>Punaci</t>
  </si>
  <si>
    <t>H616P857</t>
  </si>
  <si>
    <t>Dotireru</t>
  </si>
  <si>
    <t>P674P715</t>
  </si>
  <si>
    <t>Tedoga</t>
  </si>
  <si>
    <t>H685P183</t>
  </si>
  <si>
    <t>Fenecupule</t>
  </si>
  <si>
    <t>P217H655</t>
  </si>
  <si>
    <t>Copamo</t>
  </si>
  <si>
    <t>H538P327</t>
  </si>
  <si>
    <t>Tecatavave</t>
  </si>
  <si>
    <t>H917P679</t>
  </si>
  <si>
    <t>Togedepila</t>
  </si>
  <si>
    <t>P348P529</t>
  </si>
  <si>
    <t>Vunipi</t>
  </si>
  <si>
    <t>P255P261</t>
  </si>
  <si>
    <t>Ragupe</t>
  </si>
  <si>
    <t>P245H527</t>
  </si>
  <si>
    <t>Cecodaco</t>
  </si>
  <si>
    <t>P557P758</t>
  </si>
  <si>
    <t>Pureta</t>
  </si>
  <si>
    <t>H284H427</t>
  </si>
  <si>
    <t>Tipanirelu</t>
  </si>
  <si>
    <t>H229P646</t>
  </si>
  <si>
    <t>Piporepo</t>
  </si>
  <si>
    <t>H994H287</t>
  </si>
  <si>
    <t>Vutepupipi</t>
  </si>
  <si>
    <t>H979P465</t>
  </si>
  <si>
    <t>Nudurupa</t>
  </si>
  <si>
    <t>H189P164</t>
  </si>
  <si>
    <t>Tenoca</t>
  </si>
  <si>
    <t>H788P955</t>
  </si>
  <si>
    <t>Figinale</t>
  </si>
  <si>
    <t>P627P465</t>
  </si>
  <si>
    <t>Lodopamiru</t>
  </si>
  <si>
    <t>P689P898</t>
  </si>
  <si>
    <t>Fapupota</t>
  </si>
  <si>
    <t>P174H233</t>
  </si>
  <si>
    <t>Dapeli</t>
  </si>
  <si>
    <t>P197H653</t>
  </si>
  <si>
    <t>Torififu</t>
  </si>
  <si>
    <t>P994H199</t>
  </si>
  <si>
    <t>Lamavoralo</t>
  </si>
  <si>
    <t>H341H997</t>
  </si>
  <si>
    <t>Pucuci</t>
  </si>
  <si>
    <t>H351P362</t>
  </si>
  <si>
    <t>Nirero</t>
  </si>
  <si>
    <t>P335H145</t>
  </si>
  <si>
    <t>Tefalo</t>
  </si>
  <si>
    <t>H486P656</t>
  </si>
  <si>
    <t>Vopudopupi</t>
  </si>
  <si>
    <t>P331H934</t>
  </si>
  <si>
    <t>Delinige</t>
  </si>
  <si>
    <t>P314H486</t>
  </si>
  <si>
    <t>Papitocutu</t>
  </si>
  <si>
    <t>H719H834</t>
  </si>
  <si>
    <t>Gagemovu</t>
  </si>
  <si>
    <t>H888P892</t>
  </si>
  <si>
    <t>Denata</t>
  </si>
  <si>
    <t>H696H575</t>
  </si>
  <si>
    <t>Tanica</t>
  </si>
  <si>
    <t>H194P712</t>
  </si>
  <si>
    <t>Pacatoco</t>
  </si>
  <si>
    <t>P849H681</t>
  </si>
  <si>
    <t>Radopedodi</t>
  </si>
  <si>
    <t>H382H178</t>
  </si>
  <si>
    <t>Pupepi</t>
  </si>
  <si>
    <t>P359H297</t>
  </si>
  <si>
    <t>Gulegufa</t>
  </si>
  <si>
    <t>P679H939</t>
  </si>
  <si>
    <t>Rironegi</t>
  </si>
  <si>
    <t>H459H423</t>
  </si>
  <si>
    <t>Vapedugime</t>
  </si>
  <si>
    <t>H252P758</t>
  </si>
  <si>
    <t>Nugoro</t>
  </si>
  <si>
    <t>H332P157</t>
  </si>
  <si>
    <t>Notopire</t>
  </si>
  <si>
    <t>P254H136</t>
  </si>
  <si>
    <t>Fupocede</t>
  </si>
  <si>
    <t>P532H189</t>
  </si>
  <si>
    <t>Tonafudodo</t>
  </si>
  <si>
    <t>H464P262</t>
  </si>
  <si>
    <t>Pilovoti</t>
  </si>
  <si>
    <t>H213P483</t>
  </si>
  <si>
    <t>Paremopu</t>
  </si>
  <si>
    <t>H717H696</t>
  </si>
  <si>
    <t>Pepopinagu</t>
  </si>
  <si>
    <t>P814P126</t>
  </si>
  <si>
    <t>Nogetotepe</t>
  </si>
  <si>
    <t>P824H962</t>
  </si>
  <si>
    <t>Vegolepiga</t>
  </si>
  <si>
    <t>P572H288</t>
  </si>
  <si>
    <t>Peratacapo</t>
  </si>
  <si>
    <t>P793H761</t>
  </si>
  <si>
    <t>Cupudepupa</t>
  </si>
  <si>
    <t>H667H614</t>
  </si>
  <si>
    <t>Gacode</t>
  </si>
  <si>
    <t>H391H958</t>
  </si>
  <si>
    <t>Micivanudi</t>
  </si>
  <si>
    <t>H917P816</t>
  </si>
  <si>
    <t>Civifa</t>
  </si>
  <si>
    <t>P159H445</t>
  </si>
  <si>
    <t>Pamapaluca</t>
  </si>
  <si>
    <t>H394P546</t>
  </si>
  <si>
    <t>Fevedimeci</t>
  </si>
  <si>
    <t>H862H654</t>
  </si>
  <si>
    <t>Mumuvopu</t>
  </si>
  <si>
    <t>P443P842</t>
  </si>
  <si>
    <t>Nulopo</t>
  </si>
  <si>
    <t>H539H453</t>
  </si>
  <si>
    <t>Gomuludo</t>
  </si>
  <si>
    <t>H127P492</t>
  </si>
  <si>
    <t>Godilerata</t>
  </si>
  <si>
    <t>P136P676</t>
  </si>
  <si>
    <t>Talaro</t>
  </si>
  <si>
    <t>H288P451</t>
  </si>
  <si>
    <t>Vucodoci</t>
  </si>
  <si>
    <t>H268P986</t>
  </si>
  <si>
    <t>Racopitata</t>
  </si>
  <si>
    <t>P265P414</t>
  </si>
  <si>
    <t>Ligepuvoro</t>
  </si>
  <si>
    <t>P934P146</t>
  </si>
  <si>
    <t>Nupolavi</t>
  </si>
  <si>
    <t>H848H621</t>
  </si>
  <si>
    <t>Rifopitelo</t>
  </si>
  <si>
    <t>H769H757</t>
  </si>
  <si>
    <t>Rorife</t>
  </si>
  <si>
    <t>P274H977</t>
  </si>
  <si>
    <t>Panavaro</t>
  </si>
  <si>
    <t>H994H796</t>
  </si>
  <si>
    <t>Rotapulevu</t>
  </si>
  <si>
    <t>H283P215</t>
  </si>
  <si>
    <t>Gometipu</t>
  </si>
  <si>
    <t>H384P723</t>
  </si>
  <si>
    <t>Podomi</t>
  </si>
  <si>
    <t>P195H969</t>
  </si>
  <si>
    <t>Rapati</t>
  </si>
  <si>
    <t>P435H748</t>
  </si>
  <si>
    <t>Dodulupi</t>
  </si>
  <si>
    <t>P351H458</t>
  </si>
  <si>
    <t>Dofici</t>
  </si>
  <si>
    <t>H555H847</t>
  </si>
  <si>
    <t>Pirepa</t>
  </si>
  <si>
    <t>H948H984</t>
  </si>
  <si>
    <t>Ludunenuvo</t>
  </si>
  <si>
    <t>H237H171</t>
  </si>
  <si>
    <t>Nifagitu</t>
  </si>
  <si>
    <t>H454P228</t>
  </si>
  <si>
    <t>Tetepeto</t>
  </si>
  <si>
    <t>H867P873</t>
  </si>
  <si>
    <t>Nipufacami</t>
  </si>
  <si>
    <t>P711H654</t>
  </si>
  <si>
    <t>Rumonorivu</t>
  </si>
  <si>
    <t>P287H428</t>
  </si>
  <si>
    <t>Paganupu</t>
  </si>
  <si>
    <t>H837H657</t>
  </si>
  <si>
    <t>Rupaforuga</t>
  </si>
  <si>
    <t>H944H462</t>
  </si>
  <si>
    <t>Tadumopa</t>
  </si>
  <si>
    <t>P427H781</t>
  </si>
  <si>
    <t>Neticala</t>
  </si>
  <si>
    <t>P449H836</t>
  </si>
  <si>
    <t>Capoda</t>
  </si>
  <si>
    <t>H259P161</t>
  </si>
  <si>
    <t>Tivipo</t>
  </si>
  <si>
    <t>H813H644</t>
  </si>
  <si>
    <t>Tifolito</t>
  </si>
  <si>
    <t>P317P765</t>
  </si>
  <si>
    <t>Dogaturo</t>
  </si>
  <si>
    <t>H665H832</t>
  </si>
  <si>
    <t>Pugitofure</t>
  </si>
  <si>
    <t>H877H329</t>
  </si>
  <si>
    <t>Dutulu</t>
  </si>
  <si>
    <t>P279H239</t>
  </si>
  <si>
    <t>Finipovave</t>
  </si>
  <si>
    <t>P155P531</t>
  </si>
  <si>
    <t>Dipotupe</t>
  </si>
  <si>
    <t>H349P335</t>
  </si>
  <si>
    <t>Devimi</t>
  </si>
  <si>
    <t>P996H857</t>
  </si>
  <si>
    <t>Pamepa</t>
  </si>
  <si>
    <t>P659P963</t>
  </si>
  <si>
    <t>Tevulurupo</t>
  </si>
  <si>
    <t>H572P593</t>
  </si>
  <si>
    <t>Fefelicadu</t>
  </si>
  <si>
    <t>P323P522</t>
  </si>
  <si>
    <t>Nococucu</t>
  </si>
  <si>
    <t>H498P685</t>
  </si>
  <si>
    <t>Caretege</t>
  </si>
  <si>
    <t>H621P911</t>
  </si>
  <si>
    <t>Felata</t>
  </si>
  <si>
    <t>H959H997</t>
  </si>
  <si>
    <t>Torola</t>
  </si>
  <si>
    <t>H379P438</t>
  </si>
  <si>
    <t>Miguto</t>
  </si>
  <si>
    <t>H376H451</t>
  </si>
  <si>
    <t>Capupape</t>
  </si>
  <si>
    <t>H514H316</t>
  </si>
  <si>
    <t>Petumefate</t>
  </si>
  <si>
    <t>H122H567</t>
  </si>
  <si>
    <t>Volerufu</t>
  </si>
  <si>
    <t>H756H348</t>
  </si>
  <si>
    <t>Mopige</t>
  </si>
  <si>
    <t>P237P392</t>
  </si>
  <si>
    <t>Fetitidato</t>
  </si>
  <si>
    <t>P623H358</t>
  </si>
  <si>
    <t>Pevuli</t>
  </si>
  <si>
    <t>P411P886</t>
  </si>
  <si>
    <t>Tepimopoti</t>
  </si>
  <si>
    <t>H232P355</t>
  </si>
  <si>
    <t>Palelipa</t>
  </si>
  <si>
    <t>P784H281</t>
  </si>
  <si>
    <t>Tagitutego</t>
  </si>
  <si>
    <t>H745H578</t>
  </si>
  <si>
    <t>Pimola</t>
  </si>
  <si>
    <t>H822H141</t>
  </si>
  <si>
    <t>Pocagifuco</t>
  </si>
  <si>
    <t>P693H671</t>
  </si>
  <si>
    <t>Finade</t>
  </si>
  <si>
    <t>H157H911</t>
  </si>
  <si>
    <t>Momuragi</t>
  </si>
  <si>
    <t>H136P687</t>
  </si>
  <si>
    <t>Cepeti</t>
  </si>
  <si>
    <t>P937P636</t>
  </si>
  <si>
    <t>Gatulami</t>
  </si>
  <si>
    <t>P814P734</t>
  </si>
  <si>
    <t>Nicateca</t>
  </si>
  <si>
    <t>H762P297</t>
  </si>
  <si>
    <t>Dimoni</t>
  </si>
  <si>
    <t>P837H725</t>
  </si>
  <si>
    <t>Depareno</t>
  </si>
  <si>
    <t>H473H788</t>
  </si>
  <si>
    <t>Tumefupe</t>
  </si>
  <si>
    <t>H675H531</t>
  </si>
  <si>
    <t>Ragelurapo</t>
  </si>
  <si>
    <t>P992P261</t>
  </si>
  <si>
    <t>Facafutema</t>
  </si>
  <si>
    <t>P421P978</t>
  </si>
  <si>
    <t>Rapiga</t>
  </si>
  <si>
    <t>H343P482</t>
  </si>
  <si>
    <t>Gitupi</t>
  </si>
  <si>
    <t>P738P133</t>
  </si>
  <si>
    <t>Dupetite</t>
  </si>
  <si>
    <t>P665P624</t>
  </si>
  <si>
    <t>Levafi</t>
  </si>
  <si>
    <t>P152P474</t>
  </si>
  <si>
    <t>Melade</t>
  </si>
  <si>
    <t>H468P414</t>
  </si>
  <si>
    <t>Dufepipa</t>
  </si>
  <si>
    <t>H619P476</t>
  </si>
  <si>
    <t>Tuvarerapo</t>
  </si>
  <si>
    <t>H686H281</t>
  </si>
  <si>
    <t>Garotepopu</t>
  </si>
  <si>
    <t>P365P885</t>
  </si>
  <si>
    <t>Dodeme</t>
  </si>
  <si>
    <t>P584H851</t>
  </si>
  <si>
    <t>Vopido</t>
  </si>
  <si>
    <t>P286H323</t>
  </si>
  <si>
    <t>Diteteteto</t>
  </si>
  <si>
    <t>P188H516</t>
  </si>
  <si>
    <t>Vadori</t>
  </si>
  <si>
    <t>P449H587</t>
  </si>
  <si>
    <t>Pelunicupu</t>
  </si>
  <si>
    <t>P467P841</t>
  </si>
  <si>
    <t>Porimu</t>
  </si>
  <si>
    <t>P536H767</t>
  </si>
  <si>
    <t>Pitopopago</t>
  </si>
  <si>
    <t>P872P642</t>
  </si>
  <si>
    <t>Vutofo</t>
  </si>
  <si>
    <t>H398P738</t>
  </si>
  <si>
    <t>Degavagi</t>
  </si>
  <si>
    <t>H855H456</t>
  </si>
  <si>
    <t>Pofivipadi</t>
  </si>
  <si>
    <t>P929H672</t>
  </si>
  <si>
    <t>Lofali</t>
  </si>
  <si>
    <t>H661P169</t>
  </si>
  <si>
    <t>Riraropelu</t>
  </si>
  <si>
    <t>P342H433</t>
  </si>
  <si>
    <t>Cilepenile</t>
  </si>
  <si>
    <t>H517P894</t>
  </si>
  <si>
    <t>Nanepovipe</t>
  </si>
  <si>
    <t>P425P353</t>
  </si>
  <si>
    <t>Tegalavore</t>
  </si>
  <si>
    <t>P478H629</t>
  </si>
  <si>
    <t>Tevefalapi</t>
  </si>
  <si>
    <t>P885P559</t>
  </si>
  <si>
    <t>Paricavuvo</t>
  </si>
  <si>
    <t>P544H776</t>
  </si>
  <si>
    <t>Pupana</t>
  </si>
  <si>
    <t>H826H491</t>
  </si>
  <si>
    <t>Poparunepi</t>
  </si>
  <si>
    <t>H187H893</t>
  </si>
  <si>
    <t>Vicitipova</t>
  </si>
  <si>
    <t>P961H311</t>
  </si>
  <si>
    <t>Poluve</t>
  </si>
  <si>
    <t>P167P398</t>
  </si>
  <si>
    <t>Natiparuci</t>
  </si>
  <si>
    <t>P834P716</t>
  </si>
  <si>
    <t>Vifepugepo</t>
  </si>
  <si>
    <t>P889P739</t>
  </si>
  <si>
    <t>Paradumomu</t>
  </si>
  <si>
    <t>H785P622</t>
  </si>
  <si>
    <t>Dupunutu</t>
  </si>
  <si>
    <t>H166P663</t>
  </si>
  <si>
    <t>Vocotapera</t>
  </si>
  <si>
    <t>H219H128</t>
  </si>
  <si>
    <t>Nirovodopi</t>
  </si>
  <si>
    <t>H812P349</t>
  </si>
  <si>
    <t>Pudepipomu</t>
  </si>
  <si>
    <t>H881H799</t>
  </si>
  <si>
    <t>Perurifa</t>
  </si>
  <si>
    <t>P974H123</t>
  </si>
  <si>
    <t>Facevacica</t>
  </si>
  <si>
    <t>H874H378</t>
  </si>
  <si>
    <t>Golomanute</t>
  </si>
  <si>
    <t>P698H851</t>
  </si>
  <si>
    <t>Rapotopi</t>
  </si>
  <si>
    <t>H689P945</t>
  </si>
  <si>
    <t>Fatape</t>
  </si>
  <si>
    <t>H176H619</t>
  </si>
  <si>
    <t>Rupegi</t>
  </si>
  <si>
    <t>P853P455</t>
  </si>
  <si>
    <t>Tadacalu</t>
  </si>
  <si>
    <t>H325P954</t>
  </si>
  <si>
    <t>Vedipufuci</t>
  </si>
  <si>
    <t>P992P286</t>
  </si>
  <si>
    <t>Penunu</t>
  </si>
  <si>
    <t>P328H362</t>
  </si>
  <si>
    <t>Covapipu</t>
  </si>
  <si>
    <t>P764H371</t>
  </si>
  <si>
    <t>Tidaco</t>
  </si>
  <si>
    <t>H176P544</t>
  </si>
  <si>
    <t>Cetepo</t>
  </si>
  <si>
    <t>H992H137</t>
  </si>
  <si>
    <t>Gatodenopi</t>
  </si>
  <si>
    <t>H797H622</t>
  </si>
  <si>
    <t>Tatopafu</t>
  </si>
  <si>
    <t>H183P481</t>
  </si>
  <si>
    <t>Gopemudaru</t>
  </si>
  <si>
    <t>H191P264</t>
  </si>
  <si>
    <t>Fovemodite</t>
  </si>
  <si>
    <t>P829P491</t>
  </si>
  <si>
    <t>Ravapote</t>
  </si>
  <si>
    <t>H162P666</t>
  </si>
  <si>
    <t>Tonalo</t>
  </si>
  <si>
    <t>P815P782</t>
  </si>
  <si>
    <t>Peferepifo</t>
  </si>
  <si>
    <t>H188P149</t>
  </si>
  <si>
    <t>Pulune</t>
  </si>
  <si>
    <t>P954H173</t>
  </si>
  <si>
    <t>Tudericoni</t>
  </si>
  <si>
    <t>H132H958</t>
  </si>
  <si>
    <t>Codivape</t>
  </si>
  <si>
    <t>H874P366</t>
  </si>
  <si>
    <t>Lereteri</t>
  </si>
  <si>
    <t>P138H892</t>
  </si>
  <si>
    <t>Ridalavove</t>
  </si>
  <si>
    <t>P157H499</t>
  </si>
  <si>
    <t>Tulirona</t>
  </si>
  <si>
    <t>P544P677</t>
  </si>
  <si>
    <t>Mifuto</t>
  </si>
  <si>
    <t>P923H698</t>
  </si>
  <si>
    <t>Depanufore</t>
  </si>
  <si>
    <t>P752P815</t>
  </si>
  <si>
    <t>Cuvapiti</t>
  </si>
  <si>
    <t>P948H154</t>
  </si>
  <si>
    <t>Peturufa</t>
  </si>
  <si>
    <t>P764P334</t>
  </si>
  <si>
    <t>Fopulape</t>
  </si>
  <si>
    <t>H171H337</t>
  </si>
  <si>
    <t>Pagirido</t>
  </si>
  <si>
    <t>P341P938</t>
  </si>
  <si>
    <t>Citeneda</t>
  </si>
  <si>
    <t>H954P439</t>
  </si>
  <si>
    <t>Ritemulu</t>
  </si>
  <si>
    <t>P933H914</t>
  </si>
  <si>
    <t>Rirode</t>
  </si>
  <si>
    <t>P958P721</t>
  </si>
  <si>
    <t>Ruvirupa</t>
  </si>
  <si>
    <t>H455P461</t>
  </si>
  <si>
    <t>Topefite</t>
  </si>
  <si>
    <t>H885H379</t>
  </si>
  <si>
    <t>Pomipapitu</t>
  </si>
  <si>
    <t>H634H743</t>
  </si>
  <si>
    <t>Vetipopipe</t>
  </si>
  <si>
    <t>P938P382</t>
  </si>
  <si>
    <t>Denipugo</t>
  </si>
  <si>
    <t>P118P917</t>
  </si>
  <si>
    <t>Pupopire</t>
  </si>
  <si>
    <t>P711P642</t>
  </si>
  <si>
    <t>Dipodo</t>
  </si>
  <si>
    <t>P376H483</t>
  </si>
  <si>
    <t>Mogurupure</t>
  </si>
  <si>
    <t>P439P921</t>
  </si>
  <si>
    <t>Votolureto</t>
  </si>
  <si>
    <t>H799P273</t>
  </si>
  <si>
    <t>Vegipo</t>
  </si>
  <si>
    <t>P221H546</t>
  </si>
  <si>
    <t>Pifetopu</t>
  </si>
  <si>
    <t>H996H768</t>
  </si>
  <si>
    <t>Gicome</t>
  </si>
  <si>
    <t>P261H522</t>
  </si>
  <si>
    <t>Neroti</t>
  </si>
  <si>
    <t>P537H387</t>
  </si>
  <si>
    <t>Pidolufupa</t>
  </si>
  <si>
    <t>H226H139</t>
  </si>
  <si>
    <t>Decari</t>
  </si>
  <si>
    <t>P953P247</t>
  </si>
  <si>
    <t>Ferati</t>
  </si>
  <si>
    <t>H335P457</t>
  </si>
  <si>
    <t>Poceturunu</t>
  </si>
  <si>
    <t>H626H175</t>
  </si>
  <si>
    <t>Tavapudope</t>
  </si>
  <si>
    <t>H221H367</t>
  </si>
  <si>
    <t>Nitetu</t>
  </si>
  <si>
    <t>P932P717</t>
  </si>
  <si>
    <t>Rutafa</t>
  </si>
  <si>
    <t>P881H964</t>
  </si>
  <si>
    <t>Cugunu</t>
  </si>
  <si>
    <t>H851H995</t>
  </si>
  <si>
    <t>Mavatoru</t>
  </si>
  <si>
    <t>H596H148</t>
  </si>
  <si>
    <t>Tuluvu</t>
  </si>
  <si>
    <t>P372P994</t>
  </si>
  <si>
    <t>Finoni</t>
  </si>
  <si>
    <t>P486P496</t>
  </si>
  <si>
    <t>Nurilipute</t>
  </si>
  <si>
    <t>H816H723</t>
  </si>
  <si>
    <t>Forufemogo</t>
  </si>
  <si>
    <t>P134H393</t>
  </si>
  <si>
    <t>Ficavi</t>
  </si>
  <si>
    <t>H811P698</t>
  </si>
  <si>
    <t>Rucupofafi</t>
  </si>
  <si>
    <t>H636H697</t>
  </si>
  <si>
    <t>Nirepipi</t>
  </si>
  <si>
    <t>H641H177</t>
  </si>
  <si>
    <t>Virumire</t>
  </si>
  <si>
    <t>P525H528</t>
  </si>
  <si>
    <t>Rupiniga</t>
  </si>
  <si>
    <t>P926H369</t>
  </si>
  <si>
    <t>Dafarepu</t>
  </si>
  <si>
    <t>P251P153</t>
  </si>
  <si>
    <t>Pufoca</t>
  </si>
  <si>
    <t>P293H363</t>
  </si>
  <si>
    <t>Lalodarole</t>
  </si>
  <si>
    <t>P223P364</t>
  </si>
  <si>
    <t>Pilipudutu</t>
  </si>
  <si>
    <t>H377H966</t>
  </si>
  <si>
    <t>Rerero</t>
  </si>
  <si>
    <t>P511P551</t>
  </si>
  <si>
    <t>Tiracedi</t>
  </si>
  <si>
    <t>P532H586</t>
  </si>
  <si>
    <t>Ravavepuva</t>
  </si>
  <si>
    <t>H893P969</t>
  </si>
  <si>
    <t>Vunutopu</t>
  </si>
  <si>
    <t>P582H364</t>
  </si>
  <si>
    <t>Pururu</t>
  </si>
  <si>
    <t>H623P187</t>
  </si>
  <si>
    <t>Letofonu</t>
  </si>
  <si>
    <t>H618P848</t>
  </si>
  <si>
    <t>Timodorovo</t>
  </si>
  <si>
    <t>P376H521</t>
  </si>
  <si>
    <t>Rupafa</t>
  </si>
  <si>
    <t>P174H159</t>
  </si>
  <si>
    <t>Tudunodo</t>
  </si>
  <si>
    <t>H131H298</t>
  </si>
  <si>
    <t>Davenage</t>
  </si>
  <si>
    <t>P239P683</t>
  </si>
  <si>
    <t>Rolifide</t>
  </si>
  <si>
    <t>P629P957</t>
  </si>
  <si>
    <t>Nipuralapo</t>
  </si>
  <si>
    <t>H136P128</t>
  </si>
  <si>
    <t>Rarudatu</t>
  </si>
  <si>
    <t>H991P868</t>
  </si>
  <si>
    <t>Temito</t>
  </si>
  <si>
    <t>H389H874</t>
  </si>
  <si>
    <t>Patanipifo</t>
  </si>
  <si>
    <t>H467P555</t>
  </si>
  <si>
    <t>Vogopolona</t>
  </si>
  <si>
    <t>P961P382</t>
  </si>
  <si>
    <t>Gerecilati</t>
  </si>
  <si>
    <t>H421H579</t>
  </si>
  <si>
    <t>Diruredole</t>
  </si>
  <si>
    <t>P367P713</t>
  </si>
  <si>
    <t>Dotepipifo</t>
  </si>
  <si>
    <t>H886H156</t>
  </si>
  <si>
    <t>Govama</t>
  </si>
  <si>
    <t>P234H888</t>
  </si>
  <si>
    <t>Terite</t>
  </si>
  <si>
    <t>H984H298</t>
  </si>
  <si>
    <t>Dugutalifo</t>
  </si>
  <si>
    <t>H956P889</t>
  </si>
  <si>
    <t>Pimivefipa</t>
  </si>
  <si>
    <t>H853P914</t>
  </si>
  <si>
    <t>Pefuru</t>
  </si>
  <si>
    <t>H254H651</t>
  </si>
  <si>
    <t>Fegalaruti</t>
  </si>
  <si>
    <t>P923H668</t>
  </si>
  <si>
    <t>Fagerifu</t>
  </si>
  <si>
    <t>H691P139</t>
  </si>
  <si>
    <t>Depucarili</t>
  </si>
  <si>
    <t>P455H581</t>
  </si>
  <si>
    <t>Pegalala</t>
  </si>
  <si>
    <t>H133H373</t>
  </si>
  <si>
    <t>Falinevotu</t>
  </si>
  <si>
    <t>P488H272</t>
  </si>
  <si>
    <t>Rocipovipa</t>
  </si>
  <si>
    <t>P321P834</t>
  </si>
  <si>
    <t>Netoto</t>
  </si>
  <si>
    <t>P965P169</t>
  </si>
  <si>
    <t>Pareto</t>
  </si>
  <si>
    <t>P888H921</t>
  </si>
  <si>
    <t>Gutepupade</t>
  </si>
  <si>
    <t>H478H469</t>
  </si>
  <si>
    <t>Fepedenilu</t>
  </si>
  <si>
    <t>P972P878</t>
  </si>
  <si>
    <t>Pupuvamupa</t>
  </si>
  <si>
    <t>H577P219</t>
  </si>
  <si>
    <t>Tovumo</t>
  </si>
  <si>
    <t>H279H464</t>
  </si>
  <si>
    <t>Lureme</t>
  </si>
  <si>
    <t>H359P241</t>
  </si>
  <si>
    <t>Pidogapufi</t>
  </si>
  <si>
    <t>H953H334</t>
  </si>
  <si>
    <t>Monigu</t>
  </si>
  <si>
    <t>H415P484</t>
  </si>
  <si>
    <t>Rudepuri</t>
  </si>
  <si>
    <t>H151P488</t>
  </si>
  <si>
    <t>Muvite</t>
  </si>
  <si>
    <t>H455H563</t>
  </si>
  <si>
    <t>Fopota</t>
  </si>
  <si>
    <t>H657P379</t>
  </si>
  <si>
    <t>Tepira</t>
  </si>
  <si>
    <t>H865H735</t>
  </si>
  <si>
    <t>Vepedadere</t>
  </si>
  <si>
    <t>P116P325</t>
  </si>
  <si>
    <t>Tipogopipa</t>
  </si>
  <si>
    <t>P541P948</t>
  </si>
  <si>
    <t>Dumevenipe</t>
  </si>
  <si>
    <t>H958P874</t>
  </si>
  <si>
    <t>Vupicu</t>
  </si>
  <si>
    <t>P311H214</t>
  </si>
  <si>
    <t>Puloliluti</t>
  </si>
  <si>
    <t>P417H687</t>
  </si>
  <si>
    <t>Muteregina</t>
  </si>
  <si>
    <t>H152H576</t>
  </si>
  <si>
    <t>Fivevateci</t>
  </si>
  <si>
    <t>H522P877</t>
  </si>
  <si>
    <t>Perava</t>
  </si>
  <si>
    <t>H576H269</t>
  </si>
  <si>
    <t>Patoduvo</t>
  </si>
  <si>
    <t>P279H586</t>
  </si>
  <si>
    <t>Vodepe</t>
  </si>
  <si>
    <t>P397P155</t>
  </si>
  <si>
    <t>Cevucemo</t>
  </si>
  <si>
    <t>H726H447</t>
  </si>
  <si>
    <t>Tugocepogi</t>
  </si>
  <si>
    <t>P474P647</t>
  </si>
  <si>
    <t>Perige</t>
  </si>
  <si>
    <t>H596P325</t>
  </si>
  <si>
    <t>Malivipiro</t>
  </si>
  <si>
    <t>P765P118</t>
  </si>
  <si>
    <t>Pupofemi</t>
  </si>
  <si>
    <t>H543P849</t>
  </si>
  <si>
    <t>Tacaricugu</t>
  </si>
  <si>
    <t>P821P796</t>
  </si>
  <si>
    <t>Podiva</t>
  </si>
  <si>
    <t>P829H596</t>
  </si>
  <si>
    <t>Garataco</t>
  </si>
  <si>
    <t>H572P647</t>
  </si>
  <si>
    <t>Racefapore</t>
  </si>
  <si>
    <t>H528H364</t>
  </si>
  <si>
    <t>Punigotafu</t>
  </si>
  <si>
    <t>P172P334</t>
  </si>
  <si>
    <t>Pecoduni</t>
  </si>
  <si>
    <t>P584P635</t>
  </si>
  <si>
    <t>Puricomuno</t>
  </si>
  <si>
    <t>P585H694</t>
  </si>
  <si>
    <t>Mevofo</t>
  </si>
  <si>
    <t>H299P662</t>
  </si>
  <si>
    <t>Tepovuvifo</t>
  </si>
  <si>
    <t>H673P524</t>
  </si>
  <si>
    <t>Gitipeve</t>
  </si>
  <si>
    <t>H717H943</t>
  </si>
  <si>
    <t>Lerufi</t>
  </si>
  <si>
    <t>H123P182</t>
  </si>
  <si>
    <t>Rodupepu</t>
  </si>
  <si>
    <t>H726H133</t>
  </si>
  <si>
    <t>Gepacepu</t>
  </si>
  <si>
    <t>P844H423</t>
  </si>
  <si>
    <t>Gatuce</t>
  </si>
  <si>
    <t>H114P455</t>
  </si>
  <si>
    <t>Ramigepepe</t>
  </si>
  <si>
    <t>H731P955</t>
  </si>
  <si>
    <t>Tufope</t>
  </si>
  <si>
    <t>P252H629</t>
  </si>
  <si>
    <t>Gomite</t>
  </si>
  <si>
    <t>H986P761</t>
  </si>
  <si>
    <t>Nufelora</t>
  </si>
  <si>
    <t>P369P322</t>
  </si>
  <si>
    <t>Popafu</t>
  </si>
  <si>
    <t>P824H672</t>
  </si>
  <si>
    <t>Celila</t>
  </si>
  <si>
    <t>H742H257</t>
  </si>
  <si>
    <t>Vefada</t>
  </si>
  <si>
    <t>H594P881</t>
  </si>
  <si>
    <t>Varuturove</t>
  </si>
  <si>
    <t>P941H326</t>
  </si>
  <si>
    <t>Tatugifo</t>
  </si>
  <si>
    <t>H946P333</t>
  </si>
  <si>
    <t>Pilipevudo</t>
  </si>
  <si>
    <t>H798H463</t>
  </si>
  <si>
    <t>Domepava</t>
  </si>
  <si>
    <t>P254P722</t>
  </si>
  <si>
    <t>Leretonega</t>
  </si>
  <si>
    <t>H829H182</t>
  </si>
  <si>
    <t>Lotitovi</t>
  </si>
  <si>
    <t>H855H386</t>
  </si>
  <si>
    <t>Pomanume</t>
  </si>
  <si>
    <t>P895H745</t>
  </si>
  <si>
    <t>Rolapepuda</t>
  </si>
  <si>
    <t>H532H745</t>
  </si>
  <si>
    <t>Punuritari</t>
  </si>
  <si>
    <t>P956H778</t>
  </si>
  <si>
    <t>Lipidadene</t>
  </si>
  <si>
    <t>H921P173</t>
  </si>
  <si>
    <t>Vurutafave</t>
  </si>
  <si>
    <t>P841P154</t>
  </si>
  <si>
    <t>Tutipaneli</t>
  </si>
  <si>
    <t>P379H329</t>
  </si>
  <si>
    <t>Podatopiti</t>
  </si>
  <si>
    <t>H222H171</t>
  </si>
  <si>
    <t>Fucopemo</t>
  </si>
  <si>
    <t>P468P843</t>
  </si>
  <si>
    <t>Revugefemu</t>
  </si>
  <si>
    <t>H884H715</t>
  </si>
  <si>
    <t>Fotemupa</t>
  </si>
  <si>
    <t>H352P562</t>
  </si>
  <si>
    <t>Teredefuvi</t>
  </si>
  <si>
    <t>P288P446</t>
  </si>
  <si>
    <t>Rutaligi</t>
  </si>
  <si>
    <t>P858P151</t>
  </si>
  <si>
    <t>Giniraduti</t>
  </si>
  <si>
    <t>H189P583</t>
  </si>
  <si>
    <t>Raditino</t>
  </si>
  <si>
    <t>P892H215</t>
  </si>
  <si>
    <t>Camavudifi</t>
  </si>
  <si>
    <t>P459P841</t>
  </si>
  <si>
    <t>Lorago</t>
  </si>
  <si>
    <t>H277H195</t>
  </si>
  <si>
    <t>Pavage</t>
  </si>
  <si>
    <t>P467H769</t>
  </si>
  <si>
    <t>Ropucifipe</t>
  </si>
  <si>
    <t>H171H219</t>
  </si>
  <si>
    <t>Capepa</t>
  </si>
  <si>
    <t>P693P166</t>
  </si>
  <si>
    <t>Mitivaro</t>
  </si>
  <si>
    <t>P147P351</t>
  </si>
  <si>
    <t>Gelitapudu</t>
  </si>
  <si>
    <t>H145P237</t>
  </si>
  <si>
    <t>Metapumepe</t>
  </si>
  <si>
    <t>H885P241</t>
  </si>
  <si>
    <t>Nunicaneca</t>
  </si>
  <si>
    <t>P536H846</t>
  </si>
  <si>
    <t>Titadi</t>
  </si>
  <si>
    <t>H112P536</t>
  </si>
  <si>
    <t>Tetumi</t>
  </si>
  <si>
    <t>P437H667</t>
  </si>
  <si>
    <t>Varagadede</t>
  </si>
  <si>
    <t>H122H137</t>
  </si>
  <si>
    <t>Tivete</t>
  </si>
  <si>
    <t>P468P932</t>
  </si>
  <si>
    <t>Furite</t>
  </si>
  <si>
    <t>H722H394</t>
  </si>
  <si>
    <t>Lugeredala</t>
  </si>
  <si>
    <t>H486P153</t>
  </si>
  <si>
    <t>Nomenivocu</t>
  </si>
  <si>
    <t>P886P179</t>
  </si>
  <si>
    <t>Lafafa</t>
  </si>
  <si>
    <t>H664P994</t>
  </si>
  <si>
    <t>Gavucilega</t>
  </si>
  <si>
    <t>H255P354</t>
  </si>
  <si>
    <t>Vipecotedo</t>
  </si>
  <si>
    <t>H171P732</t>
  </si>
  <si>
    <t>Lomuparu</t>
  </si>
  <si>
    <t>H816H989</t>
  </si>
  <si>
    <t>Mefimu</t>
  </si>
  <si>
    <t>H125P478</t>
  </si>
  <si>
    <t>Mugofu</t>
  </si>
  <si>
    <t>P666H887</t>
  </si>
  <si>
    <t>Vupupu</t>
  </si>
  <si>
    <t>H894P548</t>
  </si>
  <si>
    <t>Rupilucaru</t>
  </si>
  <si>
    <t>H425P114</t>
  </si>
  <si>
    <t>Rufevororu</t>
  </si>
  <si>
    <t>P459P953</t>
  </si>
  <si>
    <t>Tatoraci</t>
  </si>
  <si>
    <t>H665H516</t>
  </si>
  <si>
    <t>Totugamora</t>
  </si>
  <si>
    <t>P543H154</t>
  </si>
  <si>
    <t>Mepivupipi</t>
  </si>
  <si>
    <t>H188P659</t>
  </si>
  <si>
    <t>Tafotafi</t>
  </si>
  <si>
    <t>P917P759</t>
  </si>
  <si>
    <t>Nepapanigu</t>
  </si>
  <si>
    <t>H427H519</t>
  </si>
  <si>
    <t>Pumoparolo</t>
  </si>
  <si>
    <t>H817H861</t>
  </si>
  <si>
    <t>Rocudetigu</t>
  </si>
  <si>
    <t>H727P446</t>
  </si>
  <si>
    <t>Regepo</t>
  </si>
  <si>
    <t>P538H334</t>
  </si>
  <si>
    <t>Rirurinu</t>
  </si>
  <si>
    <t>H473H619</t>
  </si>
  <si>
    <t>Nefucerita</t>
  </si>
  <si>
    <t>H411H658</t>
  </si>
  <si>
    <t>Pefuvo</t>
  </si>
  <si>
    <t>P882H391</t>
  </si>
  <si>
    <t>Pirare</t>
  </si>
  <si>
    <t>P384H158</t>
  </si>
  <si>
    <t>Figerafavo</t>
  </si>
  <si>
    <t>P254H386</t>
  </si>
  <si>
    <t>Miporora</t>
  </si>
  <si>
    <t>H126P811</t>
  </si>
  <si>
    <t>Lelepolo</t>
  </si>
  <si>
    <t>H118H428</t>
  </si>
  <si>
    <t>Dudofemapu</t>
  </si>
  <si>
    <t>H811H164</t>
  </si>
  <si>
    <t>Pidonuga</t>
  </si>
  <si>
    <t>H346H769</t>
  </si>
  <si>
    <t>Pevimiru</t>
  </si>
  <si>
    <t>H763P574</t>
  </si>
  <si>
    <t>Nonidi</t>
  </si>
  <si>
    <t>P254P755</t>
  </si>
  <si>
    <t>Rapepugavi</t>
  </si>
  <si>
    <t>P826P673</t>
  </si>
  <si>
    <t>Fetipape</t>
  </si>
  <si>
    <t>P895H443</t>
  </si>
  <si>
    <t>Ditumotuci</t>
  </si>
  <si>
    <t>P715H741</t>
  </si>
  <si>
    <t>Tutepeni</t>
  </si>
  <si>
    <t>P328H217</t>
  </si>
  <si>
    <t>Rudati</t>
  </si>
  <si>
    <t>P441P261</t>
  </si>
  <si>
    <t>Tururelomo</t>
  </si>
  <si>
    <t>H766P398</t>
  </si>
  <si>
    <t>Toradapu</t>
  </si>
  <si>
    <t>P876P591</t>
  </si>
  <si>
    <t>Petagipide</t>
  </si>
  <si>
    <t>P985H777</t>
  </si>
  <si>
    <t>Gilalere</t>
  </si>
  <si>
    <t>P854H115</t>
  </si>
  <si>
    <t>Pivenilene</t>
  </si>
  <si>
    <t>P684H793</t>
  </si>
  <si>
    <t>Cufepa</t>
  </si>
  <si>
    <t>H569H663</t>
  </si>
  <si>
    <t>Nipupunimi</t>
  </si>
  <si>
    <t>P173H754</t>
  </si>
  <si>
    <t>Niceto</t>
  </si>
  <si>
    <t>H549H312</t>
  </si>
  <si>
    <t>Pitofudo</t>
  </si>
  <si>
    <t>P167H591</t>
  </si>
  <si>
    <t>Pefurula</t>
  </si>
  <si>
    <t>H868H613</t>
  </si>
  <si>
    <t>Ficefo</t>
  </si>
  <si>
    <t>H611P878</t>
  </si>
  <si>
    <t>Vunutovo</t>
  </si>
  <si>
    <t>P186H447</t>
  </si>
  <si>
    <t>Peparu</t>
  </si>
  <si>
    <t>P348H894</t>
  </si>
  <si>
    <t>Gepocime</t>
  </si>
  <si>
    <t>H917H853</t>
  </si>
  <si>
    <t>Puretecu</t>
  </si>
  <si>
    <t>H633H141</t>
  </si>
  <si>
    <t>Ratolege</t>
  </si>
  <si>
    <t>H241H416</t>
  </si>
  <si>
    <t>Vepato</t>
  </si>
  <si>
    <t>H196H261</t>
  </si>
  <si>
    <t>Teriparo</t>
  </si>
  <si>
    <t>H545H859</t>
  </si>
  <si>
    <t>Dagavapo</t>
  </si>
  <si>
    <t>P389P789</t>
  </si>
  <si>
    <t>Patunipori</t>
  </si>
  <si>
    <t>H398H846</t>
  </si>
  <si>
    <t>Rovunapo</t>
  </si>
  <si>
    <t>P442P263</t>
  </si>
  <si>
    <t>Muripufure</t>
  </si>
  <si>
    <t>P847P469</t>
  </si>
  <si>
    <t>Poteralede</t>
  </si>
  <si>
    <t>P232H297</t>
  </si>
  <si>
    <t>Culanu</t>
  </si>
  <si>
    <t>H412P499</t>
  </si>
  <si>
    <t>Roralapedo</t>
  </si>
  <si>
    <t>P348H446</t>
  </si>
  <si>
    <t>Dorenegoro</t>
  </si>
  <si>
    <t>H897H682</t>
  </si>
  <si>
    <t>Civipe</t>
  </si>
  <si>
    <t>H353H759</t>
  </si>
  <si>
    <t>Paruci</t>
  </si>
  <si>
    <t>H463H545</t>
  </si>
  <si>
    <t>Gemeva</t>
  </si>
  <si>
    <t>H122P979</t>
  </si>
  <si>
    <t>Pipatela</t>
  </si>
  <si>
    <t>H985P337</t>
  </si>
  <si>
    <t>Todecure</t>
  </si>
  <si>
    <t>P941P286</t>
  </si>
  <si>
    <t>Vepevono</t>
  </si>
  <si>
    <t>P949H372</t>
  </si>
  <si>
    <t>Latorecire</t>
  </si>
  <si>
    <t>H549H253</t>
  </si>
  <si>
    <t>Mucefopo</t>
  </si>
  <si>
    <t>P513P551</t>
  </si>
  <si>
    <t>Ropaperatu</t>
  </si>
  <si>
    <t>P913H289</t>
  </si>
  <si>
    <t>Fimetureru</t>
  </si>
  <si>
    <t>H425H844</t>
  </si>
  <si>
    <t>Narumenepi</t>
  </si>
  <si>
    <t>P587H779</t>
  </si>
  <si>
    <t>Parerode</t>
  </si>
  <si>
    <t>P382H188</t>
  </si>
  <si>
    <t>Muvivena</t>
  </si>
  <si>
    <t>P995P629</t>
  </si>
  <si>
    <t>Ginefupami</t>
  </si>
  <si>
    <t>H894H534</t>
  </si>
  <si>
    <t>Pudepe</t>
  </si>
  <si>
    <t>P633H549</t>
  </si>
  <si>
    <t>Cepavepe</t>
  </si>
  <si>
    <t>H892H587</t>
  </si>
  <si>
    <t>Ropiramero</t>
  </si>
  <si>
    <t>H366H154</t>
  </si>
  <si>
    <t>Tomigago</t>
  </si>
  <si>
    <t>P216P457</t>
  </si>
  <si>
    <t>Valime</t>
  </si>
  <si>
    <t>H918P616</t>
  </si>
  <si>
    <t>Focefi</t>
  </si>
  <si>
    <t>P663P647</t>
  </si>
  <si>
    <t>Mocopi</t>
  </si>
  <si>
    <t>P224P377</t>
  </si>
  <si>
    <t>Fofovipapa</t>
  </si>
  <si>
    <t>P339H465</t>
  </si>
  <si>
    <t>Donarerure</t>
  </si>
  <si>
    <t>H671P576</t>
  </si>
  <si>
    <t>Novidipe</t>
  </si>
  <si>
    <t>P431P483</t>
  </si>
  <si>
    <t>Tiromegu</t>
  </si>
  <si>
    <t>H741H769</t>
  </si>
  <si>
    <t>Vovegapumu</t>
  </si>
  <si>
    <t>H955H569</t>
  </si>
  <si>
    <t>Foturero</t>
  </si>
  <si>
    <t>P243P814</t>
  </si>
  <si>
    <t>Pofodoge</t>
  </si>
  <si>
    <t>H985H461</t>
  </si>
  <si>
    <t>Pugarire</t>
  </si>
  <si>
    <t>P261P539</t>
  </si>
  <si>
    <t>Tirute</t>
  </si>
  <si>
    <t>H718H765</t>
  </si>
  <si>
    <t>Pogumima</t>
  </si>
  <si>
    <t>H114H237</t>
  </si>
  <si>
    <t>Puvuru</t>
  </si>
  <si>
    <t>P266P559</t>
  </si>
  <si>
    <t>Rocude</t>
  </si>
  <si>
    <t>P565H873</t>
  </si>
  <si>
    <t>Ramitume</t>
  </si>
  <si>
    <t>P559H358</t>
  </si>
  <si>
    <t>Perocutame</t>
  </si>
  <si>
    <t>P269H311</t>
  </si>
  <si>
    <t>Rafotono</t>
  </si>
  <si>
    <t>H248P425</t>
  </si>
  <si>
    <t>Numupugare</t>
  </si>
  <si>
    <t>P963H837</t>
  </si>
  <si>
    <t>Rirapomapi</t>
  </si>
  <si>
    <t>P265P269</t>
  </si>
  <si>
    <t>Pavipeco</t>
  </si>
  <si>
    <t>H766P313</t>
  </si>
  <si>
    <t>Rimotori</t>
  </si>
  <si>
    <t>H916H348</t>
  </si>
  <si>
    <t>Duramuruto</t>
  </si>
  <si>
    <t>H232P999</t>
  </si>
  <si>
    <t>Tetademo</t>
  </si>
  <si>
    <t>P637P949</t>
  </si>
  <si>
    <t>Diraceteri</t>
  </si>
  <si>
    <t>H383P582</t>
  </si>
  <si>
    <t>Tefoli</t>
  </si>
  <si>
    <t>H363H877</t>
  </si>
  <si>
    <t>Nenaticuvi</t>
  </si>
  <si>
    <t>H317H318</t>
  </si>
  <si>
    <t>Topuga</t>
  </si>
  <si>
    <t>H382H246</t>
  </si>
  <si>
    <t>Pacevovepe</t>
  </si>
  <si>
    <t>P125H365</t>
  </si>
  <si>
    <t>Vudima</t>
  </si>
  <si>
    <t>H596P465</t>
  </si>
  <si>
    <t>Davefo</t>
  </si>
  <si>
    <t>P921H669</t>
  </si>
  <si>
    <t>Lipipoteta</t>
  </si>
  <si>
    <t>P266H524</t>
  </si>
  <si>
    <t>Revateraro</t>
  </si>
  <si>
    <t>H735P822</t>
  </si>
  <si>
    <t>Dopopi</t>
  </si>
  <si>
    <t>H388H754</t>
  </si>
  <si>
    <t>Riraca</t>
  </si>
  <si>
    <t>H757H494</t>
  </si>
  <si>
    <t>Nupireto</t>
  </si>
  <si>
    <t>P611P418</t>
  </si>
  <si>
    <t>Riderule</t>
  </si>
  <si>
    <t>H764H331</t>
  </si>
  <si>
    <t>Godopadu</t>
  </si>
  <si>
    <t>P116P159</t>
  </si>
  <si>
    <t>Rirarupe</t>
  </si>
  <si>
    <t>H387H484</t>
  </si>
  <si>
    <t>Dagipi</t>
  </si>
  <si>
    <t>P835P453</t>
  </si>
  <si>
    <t>Cetepepi</t>
  </si>
  <si>
    <t>H541P574</t>
  </si>
  <si>
    <t>Vapuvo</t>
  </si>
  <si>
    <t>H617H617</t>
  </si>
  <si>
    <t>Ripafo</t>
  </si>
  <si>
    <t>H239H272</t>
  </si>
  <si>
    <t>Vevitera</t>
  </si>
  <si>
    <t>H256H541</t>
  </si>
  <si>
    <t>Tivenigeta</t>
  </si>
  <si>
    <t>H624H857</t>
  </si>
  <si>
    <t>Rupofefu</t>
  </si>
  <si>
    <t>H493H738</t>
  </si>
  <si>
    <t>Patemu</t>
  </si>
  <si>
    <t>H486H394</t>
  </si>
  <si>
    <t>Remufufevu</t>
  </si>
  <si>
    <t>H314P231</t>
  </si>
  <si>
    <t>Livipeli</t>
  </si>
  <si>
    <t>P886P739</t>
  </si>
  <si>
    <t>Pufoda</t>
  </si>
  <si>
    <t>H496H924</t>
  </si>
  <si>
    <t>Lepemaruti</t>
  </si>
  <si>
    <t>P989P492</t>
  </si>
  <si>
    <t>Vogupumo</t>
  </si>
  <si>
    <t>P854H188</t>
  </si>
  <si>
    <t>Vunari</t>
  </si>
  <si>
    <t>H116H272</t>
  </si>
  <si>
    <t>Durafa</t>
  </si>
  <si>
    <t>P259H267</t>
  </si>
  <si>
    <t>Rupime</t>
  </si>
  <si>
    <t>P317H591</t>
  </si>
  <si>
    <t>Turote</t>
  </si>
  <si>
    <t>H548P492</t>
  </si>
  <si>
    <t>Pilevutigo</t>
  </si>
  <si>
    <t>H319P498</t>
  </si>
  <si>
    <t>Ropela</t>
  </si>
  <si>
    <t>H156H295</t>
  </si>
  <si>
    <t>Tipopefeda</t>
  </si>
  <si>
    <t>P283P388</t>
  </si>
  <si>
    <t>Durupepo</t>
  </si>
  <si>
    <t>P648P391</t>
  </si>
  <si>
    <t>Rifeco</t>
  </si>
  <si>
    <t>H192H556</t>
  </si>
  <si>
    <t>Tapirutavi</t>
  </si>
  <si>
    <t>P796P453</t>
  </si>
  <si>
    <t>Repulono</t>
  </si>
  <si>
    <t>H275P286</t>
  </si>
  <si>
    <t>Ropepavu</t>
  </si>
  <si>
    <t>P794P623</t>
  </si>
  <si>
    <t>Gupafe</t>
  </si>
  <si>
    <t>H753P766</t>
  </si>
  <si>
    <t>Lotapece</t>
  </si>
  <si>
    <t>H626P628</t>
  </si>
  <si>
    <t>Fiparofofi</t>
  </si>
  <si>
    <t>P463H942</t>
  </si>
  <si>
    <t>Lonipupiti</t>
  </si>
  <si>
    <t>P411H237</t>
  </si>
  <si>
    <t>Rupacafero</t>
  </si>
  <si>
    <t>P334H215</t>
  </si>
  <si>
    <t>Pifiduri</t>
  </si>
  <si>
    <t>H549P744</t>
  </si>
  <si>
    <t>Feporedepi</t>
  </si>
  <si>
    <t>H456P244</t>
  </si>
  <si>
    <t>Vulera</t>
  </si>
  <si>
    <t>P251P444</t>
  </si>
  <si>
    <t>Lapepadu</t>
  </si>
  <si>
    <t>P763P355</t>
  </si>
  <si>
    <t>Tapovo</t>
  </si>
  <si>
    <t>H139P529</t>
  </si>
  <si>
    <t>Tovicipe</t>
  </si>
  <si>
    <t>P471P397</t>
  </si>
  <si>
    <t>Rutore</t>
  </si>
  <si>
    <t>H527P991</t>
  </si>
  <si>
    <t>Pifavu</t>
  </si>
  <si>
    <t>P927H173</t>
  </si>
  <si>
    <t>Tedunalevo</t>
  </si>
  <si>
    <t>H541P268</t>
  </si>
  <si>
    <t>Carinimopa</t>
  </si>
  <si>
    <t>P167P955</t>
  </si>
  <si>
    <t>Fovefo</t>
  </si>
  <si>
    <t>H813P239</t>
  </si>
  <si>
    <t>Tepumuri</t>
  </si>
  <si>
    <t>P471H553</t>
  </si>
  <si>
    <t>Lelotonivi</t>
  </si>
  <si>
    <t>P781H979</t>
  </si>
  <si>
    <t>Pepifepo</t>
  </si>
  <si>
    <t>H178P482</t>
  </si>
  <si>
    <t>Cetutu</t>
  </si>
  <si>
    <t>P169H521</t>
  </si>
  <si>
    <t>Funafiteto</t>
  </si>
  <si>
    <t>P196H441</t>
  </si>
  <si>
    <t>Pecopifatu</t>
  </si>
  <si>
    <t>H143P243</t>
  </si>
  <si>
    <t>Putucafaru</t>
  </si>
  <si>
    <t>P883P412</t>
  </si>
  <si>
    <t>Pipupacipe</t>
  </si>
  <si>
    <t>H189H749</t>
  </si>
  <si>
    <t>Luferova</t>
  </si>
  <si>
    <t>H764P675</t>
  </si>
  <si>
    <t>Radopupe</t>
  </si>
  <si>
    <t>H873H429</t>
  </si>
  <si>
    <t>Fumorato</t>
  </si>
  <si>
    <t>H667H339</t>
  </si>
  <si>
    <t>Ginuloreto</t>
  </si>
  <si>
    <t>P366H918</t>
  </si>
  <si>
    <t>Popafirure</t>
  </si>
  <si>
    <t>P164H955</t>
  </si>
  <si>
    <t>Puretopelo</t>
  </si>
  <si>
    <t>P556H324</t>
  </si>
  <si>
    <t>Munacara</t>
  </si>
  <si>
    <t>P588H562</t>
  </si>
  <si>
    <t>Tegeroropu</t>
  </si>
  <si>
    <t>P152H931</t>
  </si>
  <si>
    <t>Vutufe</t>
  </si>
  <si>
    <t>P873H963</t>
  </si>
  <si>
    <t>Fodomupoco</t>
  </si>
  <si>
    <t>P447H269</t>
  </si>
  <si>
    <t>Tegipu</t>
  </si>
  <si>
    <t>P543H891</t>
  </si>
  <si>
    <t>Tevulege</t>
  </si>
  <si>
    <t>H433P386</t>
  </si>
  <si>
    <t>Gepepa</t>
  </si>
  <si>
    <t>P551H689</t>
  </si>
  <si>
    <t>Togefopudi</t>
  </si>
  <si>
    <t>H774P565</t>
  </si>
  <si>
    <t>Covularacu</t>
  </si>
  <si>
    <t>H379P777</t>
  </si>
  <si>
    <t>Padutavoti</t>
  </si>
  <si>
    <t>P431H563</t>
  </si>
  <si>
    <t>Forigumupa</t>
  </si>
  <si>
    <t>H449H939</t>
  </si>
  <si>
    <t>Talorure</t>
  </si>
  <si>
    <t>H759H511</t>
  </si>
  <si>
    <t>Tatanu</t>
  </si>
  <si>
    <t>P787H173</t>
  </si>
  <si>
    <t>Mopida</t>
  </si>
  <si>
    <t>P669H259</t>
  </si>
  <si>
    <t>Telapiru</t>
  </si>
  <si>
    <t>H719P197</t>
  </si>
  <si>
    <t>Nipucavupa</t>
  </si>
  <si>
    <t>H714H494</t>
  </si>
  <si>
    <t>Nimame</t>
  </si>
  <si>
    <t>P661P727</t>
  </si>
  <si>
    <t>Tipefunipa</t>
  </si>
  <si>
    <t>H194P851</t>
  </si>
  <si>
    <t>Pegafinoto</t>
  </si>
  <si>
    <t>H924P398</t>
  </si>
  <si>
    <t>Mamelovico</t>
  </si>
  <si>
    <t>H667P383</t>
  </si>
  <si>
    <t>Rotepipu</t>
  </si>
  <si>
    <t>H415P552</t>
  </si>
  <si>
    <t>Tufora</t>
  </si>
  <si>
    <t>P418H387</t>
  </si>
  <si>
    <t>Dipegetu</t>
  </si>
  <si>
    <t>P152P837</t>
  </si>
  <si>
    <t>Cotuvopite</t>
  </si>
  <si>
    <t>P839H947</t>
  </si>
  <si>
    <t>Tutirudo</t>
  </si>
  <si>
    <t>H663H464</t>
  </si>
  <si>
    <t>Pumepava</t>
  </si>
  <si>
    <t>P395H275</t>
  </si>
  <si>
    <t>Napapafetu</t>
  </si>
  <si>
    <t>P422P744</t>
  </si>
  <si>
    <t>Popigi</t>
  </si>
  <si>
    <t>P724H215</t>
  </si>
  <si>
    <t>Lovuli</t>
  </si>
  <si>
    <t>H569P586</t>
  </si>
  <si>
    <t>Nirarepi</t>
  </si>
  <si>
    <t>P631P365</t>
  </si>
  <si>
    <t>Lepifure</t>
  </si>
  <si>
    <t>H946H414</t>
  </si>
  <si>
    <t>Gepafuni</t>
  </si>
  <si>
    <t>P144H457</t>
  </si>
  <si>
    <t>Vuvupageri</t>
  </si>
  <si>
    <t>P312H942</t>
  </si>
  <si>
    <t>Pimora</t>
  </si>
  <si>
    <t>P339H873</t>
  </si>
  <si>
    <t>Pacimumu</t>
  </si>
  <si>
    <t>P573H645</t>
  </si>
  <si>
    <t>Norirudi</t>
  </si>
  <si>
    <t>H423H652</t>
  </si>
  <si>
    <t>Nipafode</t>
  </si>
  <si>
    <t>H129H567</t>
  </si>
  <si>
    <t>Feticocu</t>
  </si>
  <si>
    <t>H558P142</t>
  </si>
  <si>
    <t>Vifilupo</t>
  </si>
  <si>
    <t>P691P272</t>
  </si>
  <si>
    <t>Tanulo</t>
  </si>
  <si>
    <t>P421H184</t>
  </si>
  <si>
    <t>Venoru</t>
  </si>
  <si>
    <t>P569P844</t>
  </si>
  <si>
    <t>Tapigete</t>
  </si>
  <si>
    <t>P425H761</t>
  </si>
  <si>
    <t>Ticotopomu</t>
  </si>
  <si>
    <t>P792H935</t>
  </si>
  <si>
    <t>Giditepo</t>
  </si>
  <si>
    <t>P522H295</t>
  </si>
  <si>
    <t>Pagupa</t>
  </si>
  <si>
    <t>H196P245</t>
  </si>
  <si>
    <t>Vutimo</t>
  </si>
  <si>
    <t>H835P375</t>
  </si>
  <si>
    <t>Getudedapu</t>
  </si>
  <si>
    <t>H528H674</t>
  </si>
  <si>
    <t>Dopirufanu</t>
  </si>
  <si>
    <t>H837P467</t>
  </si>
  <si>
    <t>Dunipu</t>
  </si>
  <si>
    <t>H667H866</t>
  </si>
  <si>
    <t>Pedete</t>
  </si>
  <si>
    <t>H772P132</t>
  </si>
  <si>
    <t>Papifefa</t>
  </si>
  <si>
    <t>H993P171</t>
  </si>
  <si>
    <t>Pemedapena</t>
  </si>
  <si>
    <t>P888P865</t>
  </si>
  <si>
    <t>Notolati</t>
  </si>
  <si>
    <t>P227P448</t>
  </si>
  <si>
    <t>Vedidada</t>
  </si>
  <si>
    <t>H317H396</t>
  </si>
  <si>
    <t>Vetivu</t>
  </si>
  <si>
    <t>P771H625</t>
  </si>
  <si>
    <t>Ciponuperi</t>
  </si>
  <si>
    <t>H553P499</t>
  </si>
  <si>
    <t>Fefapo</t>
  </si>
  <si>
    <t>H463H424</t>
  </si>
  <si>
    <t>Vatavipi</t>
  </si>
  <si>
    <t>H546H815</t>
  </si>
  <si>
    <t>Cotineva</t>
  </si>
  <si>
    <t>H372P868</t>
  </si>
  <si>
    <t>Vigupirati</t>
  </si>
  <si>
    <t>P691H987</t>
  </si>
  <si>
    <t>Mepone</t>
  </si>
  <si>
    <t>P511H352</t>
  </si>
  <si>
    <t>Topuri</t>
  </si>
  <si>
    <t>H112P813</t>
  </si>
  <si>
    <t>Tofufalo</t>
  </si>
  <si>
    <t>P411P497</t>
  </si>
  <si>
    <t>Cetopi</t>
  </si>
  <si>
    <t>P459H813</t>
  </si>
  <si>
    <t>Micuca</t>
  </si>
  <si>
    <t>H353H513</t>
  </si>
  <si>
    <t>Pogoluno</t>
  </si>
  <si>
    <t>H871H542</t>
  </si>
  <si>
    <t>Laravadiva</t>
  </si>
  <si>
    <t>P839P132</t>
  </si>
  <si>
    <t>Ropopugofu</t>
  </si>
  <si>
    <t>P747P276</t>
  </si>
  <si>
    <t>Defuvego</t>
  </si>
  <si>
    <t>H286H263</t>
  </si>
  <si>
    <t>Rigimota</t>
  </si>
  <si>
    <t>H817P899</t>
  </si>
  <si>
    <t>Venetefe</t>
  </si>
  <si>
    <t>P369H315</t>
  </si>
  <si>
    <t>Devoda</t>
  </si>
  <si>
    <t>H247P449</t>
  </si>
  <si>
    <t>Tamotododo</t>
  </si>
  <si>
    <t>P231H311</t>
  </si>
  <si>
    <t>Putona</t>
  </si>
  <si>
    <t>H214P711</t>
  </si>
  <si>
    <t>Velivaci</t>
  </si>
  <si>
    <t>H393P794</t>
  </si>
  <si>
    <t>Tolamupe</t>
  </si>
  <si>
    <t>H989P212</t>
  </si>
  <si>
    <t>Derunega</t>
  </si>
  <si>
    <t>H758H992</t>
  </si>
  <si>
    <t>Nogepi</t>
  </si>
  <si>
    <t>P312H382</t>
  </si>
  <si>
    <t>Povaroliti</t>
  </si>
  <si>
    <t>P731H317</t>
  </si>
  <si>
    <t>Gocuregogi</t>
  </si>
  <si>
    <t>P794P551</t>
  </si>
  <si>
    <t>Totoga</t>
  </si>
  <si>
    <t>H623P532</t>
  </si>
  <si>
    <t>Poratu</t>
  </si>
  <si>
    <t>P162H773</t>
  </si>
  <si>
    <t>Tilipamuru</t>
  </si>
  <si>
    <t>P359P385</t>
  </si>
  <si>
    <t>Napotade</t>
  </si>
  <si>
    <t>P254P562</t>
  </si>
  <si>
    <t>Turuturo</t>
  </si>
  <si>
    <t>P117H247</t>
  </si>
  <si>
    <t>Penuperepe</t>
  </si>
  <si>
    <t>H571P212</t>
  </si>
  <si>
    <t>Turipi</t>
  </si>
  <si>
    <t>P291H321</t>
  </si>
  <si>
    <t>Pufupu</t>
  </si>
  <si>
    <t>P839H576</t>
  </si>
  <si>
    <t>Rinuneceve</t>
  </si>
  <si>
    <t>P917H585</t>
  </si>
  <si>
    <t>Cedopupepi</t>
  </si>
  <si>
    <t>H625P127</t>
  </si>
  <si>
    <t>Veradateto</t>
  </si>
  <si>
    <t>H115P132</t>
  </si>
  <si>
    <t>Cademilita</t>
  </si>
  <si>
    <t>P891H222</t>
  </si>
  <si>
    <t>Revavefora</t>
  </si>
  <si>
    <t>H141P235</t>
  </si>
  <si>
    <t>Gopurerite</t>
  </si>
  <si>
    <t>P894H967</t>
  </si>
  <si>
    <t>Pipatipi</t>
  </si>
  <si>
    <t>P387H988</t>
  </si>
  <si>
    <t>Tutipitaro</t>
  </si>
  <si>
    <t>H622P841</t>
  </si>
  <si>
    <t>Veriritetu</t>
  </si>
  <si>
    <t>H244H312</t>
  </si>
  <si>
    <t>Ratogopa</t>
  </si>
  <si>
    <t>H642P946</t>
  </si>
  <si>
    <t>Fefacepa</t>
  </si>
  <si>
    <t>P265H873</t>
  </si>
  <si>
    <t>Revapugite</t>
  </si>
  <si>
    <t>P797P969</t>
  </si>
  <si>
    <t>Tugunefi</t>
  </si>
  <si>
    <t>P379H351</t>
  </si>
  <si>
    <t>Pecomi</t>
  </si>
  <si>
    <t>H893P763</t>
  </si>
  <si>
    <t>Pedupavuro</t>
  </si>
  <si>
    <t>H711P298</t>
  </si>
  <si>
    <t>Getepife</t>
  </si>
  <si>
    <t>P718P482</t>
  </si>
  <si>
    <t>Tolupi</t>
  </si>
  <si>
    <t>P876P794</t>
  </si>
  <si>
    <t>Molome</t>
  </si>
  <si>
    <t>H126H571</t>
  </si>
  <si>
    <t>Cutevamopi</t>
  </si>
  <si>
    <t>P298H893</t>
  </si>
  <si>
    <t>Favegi</t>
  </si>
  <si>
    <t>H674H933</t>
  </si>
  <si>
    <t>Maparate</t>
  </si>
  <si>
    <t>P985P749</t>
  </si>
  <si>
    <t>Patipalu</t>
  </si>
  <si>
    <t>P346H845</t>
  </si>
  <si>
    <t>Vutotomi</t>
  </si>
  <si>
    <t>P568P213</t>
  </si>
  <si>
    <t>Luline</t>
  </si>
  <si>
    <t>H874H185</t>
  </si>
  <si>
    <t>Rapapumepo</t>
  </si>
  <si>
    <t>H482H831</t>
  </si>
  <si>
    <t>Tiracira</t>
  </si>
  <si>
    <t>P435H431</t>
  </si>
  <si>
    <t>Danape</t>
  </si>
  <si>
    <t>P459P515</t>
  </si>
  <si>
    <t>Focereli</t>
  </si>
  <si>
    <t>P953H441</t>
  </si>
  <si>
    <t>Fiteta</t>
  </si>
  <si>
    <t>P863P162</t>
  </si>
  <si>
    <t>Geputuga</t>
  </si>
  <si>
    <t>H489H134</t>
  </si>
  <si>
    <t>Lararudoda</t>
  </si>
  <si>
    <t>P796H317</t>
  </si>
  <si>
    <t>Giparuge</t>
  </si>
  <si>
    <t>H863H983</t>
  </si>
  <si>
    <t>Lifutogime</t>
  </si>
  <si>
    <t>P494H558</t>
  </si>
  <si>
    <t>Gutiritupi</t>
  </si>
  <si>
    <t>H868H389</t>
  </si>
  <si>
    <t>Piropupo</t>
  </si>
  <si>
    <t>P573H923</t>
  </si>
  <si>
    <t>Nemopice</t>
  </si>
  <si>
    <t>H846P778</t>
  </si>
  <si>
    <t>Firamu</t>
  </si>
  <si>
    <t>P589P568</t>
  </si>
  <si>
    <t>Tafuperafi</t>
  </si>
  <si>
    <t>H338P921</t>
  </si>
  <si>
    <t>Ripitoci</t>
  </si>
  <si>
    <t>H454P885</t>
  </si>
  <si>
    <t>Namolefo</t>
  </si>
  <si>
    <t>P225H168</t>
  </si>
  <si>
    <t>Rirurifo</t>
  </si>
  <si>
    <t>H182H543</t>
  </si>
  <si>
    <t>Fopanaricu</t>
  </si>
  <si>
    <t>P321P787</t>
  </si>
  <si>
    <t>Pegati</t>
  </si>
  <si>
    <t>P634H574</t>
  </si>
  <si>
    <t>Mivudapote</t>
  </si>
  <si>
    <t>H531H765</t>
  </si>
  <si>
    <t>Repafi</t>
  </si>
  <si>
    <t>H658P524</t>
  </si>
  <si>
    <t>Talota</t>
  </si>
  <si>
    <t>H424P181</t>
  </si>
  <si>
    <t>Redevere</t>
  </si>
  <si>
    <t>H162H387</t>
  </si>
  <si>
    <t>Gupafiroti</t>
  </si>
  <si>
    <t>H644P192</t>
  </si>
  <si>
    <t>Diganepede</t>
  </si>
  <si>
    <t>H452P481</t>
  </si>
  <si>
    <t>Papepote</t>
  </si>
  <si>
    <t>P442H885</t>
  </si>
  <si>
    <t>Letanaro</t>
  </si>
  <si>
    <t>P599P292</t>
  </si>
  <si>
    <t>Reripu</t>
  </si>
  <si>
    <t>H854H739</t>
  </si>
  <si>
    <t>Rupumira</t>
  </si>
  <si>
    <t>P561P591</t>
  </si>
  <si>
    <t>Panepupi</t>
  </si>
  <si>
    <t>H326H898</t>
  </si>
  <si>
    <t>Tamurido</t>
  </si>
  <si>
    <t>H578H868</t>
  </si>
  <si>
    <t>Tiveconi</t>
  </si>
  <si>
    <t>H979P518</t>
  </si>
  <si>
    <t>Celitufinu</t>
  </si>
  <si>
    <t>H781H636</t>
  </si>
  <si>
    <t>Logagerita</t>
  </si>
  <si>
    <t>H616P445</t>
  </si>
  <si>
    <t>Tidoma</t>
  </si>
  <si>
    <t>P648P217</t>
  </si>
  <si>
    <t>Tarerupofo</t>
  </si>
  <si>
    <t>P221P471</t>
  </si>
  <si>
    <t>Reririve</t>
  </si>
  <si>
    <t>P722H435</t>
  </si>
  <si>
    <t>Pataco</t>
  </si>
  <si>
    <t>H824H114</t>
  </si>
  <si>
    <t>Dadipupodi</t>
  </si>
  <si>
    <t>P422P631</t>
  </si>
  <si>
    <t>Defelogo</t>
  </si>
  <si>
    <t>P185P343</t>
  </si>
  <si>
    <t>Vovivi</t>
  </si>
  <si>
    <t>P788H647</t>
  </si>
  <si>
    <t>Cufurufeto</t>
  </si>
  <si>
    <t>H318P345</t>
  </si>
  <si>
    <t>Cutirapo</t>
  </si>
  <si>
    <t>H451P368</t>
  </si>
  <si>
    <t>Napefalucu</t>
  </si>
  <si>
    <t>H262P333</t>
  </si>
  <si>
    <t>Lerepe</t>
  </si>
  <si>
    <t>P226H775</t>
  </si>
  <si>
    <t>Pegama</t>
  </si>
  <si>
    <t>H118P468</t>
  </si>
  <si>
    <t>Gefuru</t>
  </si>
  <si>
    <t>P126P771</t>
  </si>
  <si>
    <t>Ficadidote</t>
  </si>
  <si>
    <t>H189H837</t>
  </si>
  <si>
    <t>Carome</t>
  </si>
  <si>
    <t>P436H399</t>
  </si>
  <si>
    <t>Tepumi</t>
  </si>
  <si>
    <t>H866H567</t>
  </si>
  <si>
    <t>Volapa</t>
  </si>
  <si>
    <t>H962H636</t>
  </si>
  <si>
    <t>Lepicenida</t>
  </si>
  <si>
    <t>P991P887</t>
  </si>
  <si>
    <t>Megefopume</t>
  </si>
  <si>
    <t>P338P522</t>
  </si>
  <si>
    <t>Pedidi</t>
  </si>
  <si>
    <t>P288P384</t>
  </si>
  <si>
    <t>Menemuvu</t>
  </si>
  <si>
    <t>H889H649</t>
  </si>
  <si>
    <t>Famufupe</t>
  </si>
  <si>
    <t>H775P123</t>
  </si>
  <si>
    <t>Gipirugodu</t>
  </si>
  <si>
    <t>H999H161</t>
  </si>
  <si>
    <t>Patipofe</t>
  </si>
  <si>
    <t>P344P218</t>
  </si>
  <si>
    <t>Rofava</t>
  </si>
  <si>
    <t>P412P626</t>
  </si>
  <si>
    <t>Vorotepidu</t>
  </si>
  <si>
    <t>H616H673</t>
  </si>
  <si>
    <t>Patupagere</t>
  </si>
  <si>
    <t>P571H242</t>
  </si>
  <si>
    <t>Patipunofo</t>
  </si>
  <si>
    <t>P869H466</t>
  </si>
  <si>
    <t>Gulonete</t>
  </si>
  <si>
    <t>P614H461</t>
  </si>
  <si>
    <t>Napipupi</t>
  </si>
  <si>
    <t>P414H888</t>
  </si>
  <si>
    <t>Peledugene</t>
  </si>
  <si>
    <t>P935P785</t>
  </si>
  <si>
    <t>Pileto</t>
  </si>
  <si>
    <t>P959P223</t>
  </si>
  <si>
    <t>Lapara</t>
  </si>
  <si>
    <t>H429P341</t>
  </si>
  <si>
    <t>Feremegapa</t>
  </si>
  <si>
    <t>H493H199</t>
  </si>
  <si>
    <t>Titepa</t>
  </si>
  <si>
    <t>H599H447</t>
  </si>
  <si>
    <t>Ruperopa</t>
  </si>
  <si>
    <t>P494P375</t>
  </si>
  <si>
    <t>Ludafitu</t>
  </si>
  <si>
    <t>H946H181</t>
  </si>
  <si>
    <t>Titiponacu</t>
  </si>
  <si>
    <t>H928P582</t>
  </si>
  <si>
    <t>Cifude</t>
  </si>
  <si>
    <t>P352H777</t>
  </si>
  <si>
    <t>Rotepupone</t>
  </si>
  <si>
    <t>P989H426</t>
  </si>
  <si>
    <t>Cotulareta</t>
  </si>
  <si>
    <t>P833P343</t>
  </si>
  <si>
    <t>Duvotupeve</t>
  </si>
  <si>
    <t>H349H849</t>
  </si>
  <si>
    <t>Coritu</t>
  </si>
  <si>
    <t>P639H442</t>
  </si>
  <si>
    <t>Pocaperape</t>
  </si>
  <si>
    <t>H255H335</t>
  </si>
  <si>
    <t>Tugomeli</t>
  </si>
  <si>
    <t>H879P987</t>
  </si>
  <si>
    <t>Lironi</t>
  </si>
  <si>
    <t>H951H579</t>
  </si>
  <si>
    <t>Tugitogupo</t>
  </si>
  <si>
    <t>P164P657</t>
  </si>
  <si>
    <t>Pelitugo</t>
  </si>
  <si>
    <t>P523P849</t>
  </si>
  <si>
    <t>Deporaca</t>
  </si>
  <si>
    <t>H153P499</t>
  </si>
  <si>
    <t>Rupenono</t>
  </si>
  <si>
    <t>P546P732</t>
  </si>
  <si>
    <t>Vutarimara</t>
  </si>
  <si>
    <t>P577H565</t>
  </si>
  <si>
    <t>Defare</t>
  </si>
  <si>
    <t>H432H639</t>
  </si>
  <si>
    <t>Rupufu</t>
  </si>
  <si>
    <t>P343H647</t>
  </si>
  <si>
    <t>Ratipurivu</t>
  </si>
  <si>
    <t>P354P445</t>
  </si>
  <si>
    <t>Leroci</t>
  </si>
  <si>
    <t>H143P293</t>
  </si>
  <si>
    <t>Fuporegico</t>
  </si>
  <si>
    <t>P376P441</t>
  </si>
  <si>
    <t>Rurutu</t>
  </si>
  <si>
    <t>P382H552</t>
  </si>
  <si>
    <t>Mapepe</t>
  </si>
  <si>
    <t>P699H542</t>
  </si>
  <si>
    <t>Coguravafa</t>
  </si>
  <si>
    <t>P478P661</t>
  </si>
  <si>
    <t>Cafepoca</t>
  </si>
  <si>
    <t>H348H171</t>
  </si>
  <si>
    <t>Tugoli</t>
  </si>
  <si>
    <t>P864H771</t>
  </si>
  <si>
    <t>Dodareforo</t>
  </si>
  <si>
    <t>P955H274</t>
  </si>
  <si>
    <t>Gipamaru</t>
  </si>
  <si>
    <t>H764H725</t>
  </si>
  <si>
    <t>Tovotegega</t>
  </si>
  <si>
    <t>P788H658</t>
  </si>
  <si>
    <t>Toravi</t>
  </si>
  <si>
    <t>H966H989</t>
  </si>
  <si>
    <t>Forupodu</t>
  </si>
  <si>
    <t>H561H255</t>
  </si>
  <si>
    <t>Farupopopu</t>
  </si>
  <si>
    <t>P875H953</t>
  </si>
  <si>
    <t>Cepifinopa</t>
  </si>
  <si>
    <t>H264P294</t>
  </si>
  <si>
    <t>Vilidu</t>
  </si>
  <si>
    <t>H492P258</t>
  </si>
  <si>
    <t>Tonapava</t>
  </si>
  <si>
    <t>P299P134</t>
  </si>
  <si>
    <t>Nopevopu</t>
  </si>
  <si>
    <t>H426H526</t>
  </si>
  <si>
    <t>Povalo</t>
  </si>
  <si>
    <t>P747P954</t>
  </si>
  <si>
    <t>Pavaputi</t>
  </si>
  <si>
    <t>P441H685</t>
  </si>
  <si>
    <t>Golatafupa</t>
  </si>
  <si>
    <t>H698P813</t>
  </si>
  <si>
    <t>Rimutagira</t>
  </si>
  <si>
    <t>H788H725</t>
  </si>
  <si>
    <t>Tafiladave</t>
  </si>
  <si>
    <t>H725P599</t>
  </si>
  <si>
    <t>Venira</t>
  </si>
  <si>
    <t>P138P995</t>
  </si>
  <si>
    <t>Nupagaruce</t>
  </si>
  <si>
    <t>P676P512</t>
  </si>
  <si>
    <t>Repada</t>
  </si>
  <si>
    <t>P177H713</t>
  </si>
  <si>
    <t>Repomamepi</t>
  </si>
  <si>
    <t>P814P554</t>
  </si>
  <si>
    <t>Pulepu</t>
  </si>
  <si>
    <t>P663H246</t>
  </si>
  <si>
    <t>Gutema</t>
  </si>
  <si>
    <t>H759H993</t>
  </si>
  <si>
    <t>Dinice</t>
  </si>
  <si>
    <t>P333P955</t>
  </si>
  <si>
    <t>Pipale</t>
  </si>
  <si>
    <t>P954P474</t>
  </si>
  <si>
    <t>Fucadumoge</t>
  </si>
  <si>
    <t>H527P884</t>
  </si>
  <si>
    <t>Gugiteci</t>
  </si>
  <si>
    <t>P511P111</t>
  </si>
  <si>
    <t>Tetunimufe</t>
  </si>
  <si>
    <t>H478H519</t>
  </si>
  <si>
    <t>Ponepu</t>
  </si>
  <si>
    <t>H973H235</t>
  </si>
  <si>
    <t>Vicanapo</t>
  </si>
  <si>
    <t>P672P785</t>
  </si>
  <si>
    <t>Faparara</t>
  </si>
  <si>
    <t>P778H148</t>
  </si>
  <si>
    <t>Mefuvi</t>
  </si>
  <si>
    <t>P877P284</t>
  </si>
  <si>
    <t>Timupuri</t>
  </si>
  <si>
    <t>H874P747</t>
  </si>
  <si>
    <t>Vafuvodugi</t>
  </si>
  <si>
    <t>H599P613</t>
  </si>
  <si>
    <t>Dipera</t>
  </si>
  <si>
    <t>P662P319</t>
  </si>
  <si>
    <t>Navopape</t>
  </si>
  <si>
    <t>P923H215</t>
  </si>
  <si>
    <t>Rotitatimi</t>
  </si>
  <si>
    <t>H254H999</t>
  </si>
  <si>
    <t>Marite</t>
  </si>
  <si>
    <t>P242H384</t>
  </si>
  <si>
    <t>Napuleci</t>
  </si>
  <si>
    <t>H497P254</t>
  </si>
  <si>
    <t>Garire</t>
  </si>
  <si>
    <t>P231H716</t>
  </si>
  <si>
    <t>Nipelacodo</t>
  </si>
  <si>
    <t>H264H325</t>
  </si>
  <si>
    <t>Curumemogo</t>
  </si>
  <si>
    <t>H567H167</t>
  </si>
  <si>
    <t>Timica</t>
  </si>
  <si>
    <t>H519P669</t>
  </si>
  <si>
    <t>Lepumafe</t>
  </si>
  <si>
    <t>P896P765</t>
  </si>
  <si>
    <t>Pulagefo</t>
  </si>
  <si>
    <t>P574P561</t>
  </si>
  <si>
    <t>Lufara</t>
  </si>
  <si>
    <t>P882P816</t>
  </si>
  <si>
    <t>Focopalo</t>
  </si>
  <si>
    <t>H757H344</t>
  </si>
  <si>
    <t>Nefada</t>
  </si>
  <si>
    <t>P296P952</t>
  </si>
  <si>
    <t>Dipodaripe</t>
  </si>
  <si>
    <t>H486H916</t>
  </si>
  <si>
    <t>Patofe</t>
  </si>
  <si>
    <t>H433P427</t>
  </si>
  <si>
    <t>Polido</t>
  </si>
  <si>
    <t>P681P674</t>
  </si>
  <si>
    <t>Fenadidu</t>
  </si>
  <si>
    <t>H682P969</t>
  </si>
  <si>
    <t>Patupecu</t>
  </si>
  <si>
    <t>H424H622</t>
  </si>
  <si>
    <t>Demicipo</t>
  </si>
  <si>
    <t>H316P233</t>
  </si>
  <si>
    <t>Tapopovonu</t>
  </si>
  <si>
    <t>H785P683</t>
  </si>
  <si>
    <t>Ponicegefo</t>
  </si>
  <si>
    <t>P373H538</t>
  </si>
  <si>
    <t>Padimipo</t>
  </si>
  <si>
    <t>H432H785</t>
  </si>
  <si>
    <t>Nopirofu</t>
  </si>
  <si>
    <t>H948H918</t>
  </si>
  <si>
    <t>Roponotu</t>
  </si>
  <si>
    <t>P953H255</t>
  </si>
  <si>
    <t>Mapare</t>
  </si>
  <si>
    <t>H556P879</t>
  </si>
  <si>
    <t>Gatife</t>
  </si>
  <si>
    <t>P289P436</t>
  </si>
  <si>
    <t>Pulatili</t>
  </si>
  <si>
    <t>H496P879</t>
  </si>
  <si>
    <t>Darucope</t>
  </si>
  <si>
    <t>H786H415</t>
  </si>
  <si>
    <t>Cicoratopi</t>
  </si>
  <si>
    <t>P829P661</t>
  </si>
  <si>
    <t>Rurutipe</t>
  </si>
  <si>
    <t>P479P914</t>
  </si>
  <si>
    <t>Tifugove</t>
  </si>
  <si>
    <t>P566H418</t>
  </si>
  <si>
    <t>Lopito</t>
  </si>
  <si>
    <t>P516H412</t>
  </si>
  <si>
    <t>Temiri</t>
  </si>
  <si>
    <t>H121P377</t>
  </si>
  <si>
    <t>Cegefe</t>
  </si>
  <si>
    <t>P248P453</t>
  </si>
  <si>
    <t>Repago</t>
  </si>
  <si>
    <t>H181P142</t>
  </si>
  <si>
    <t>Virorurepu</t>
  </si>
  <si>
    <t>H797H461</t>
  </si>
  <si>
    <t>Pupucuto</t>
  </si>
  <si>
    <t>H222H525</t>
  </si>
  <si>
    <t>Netunapa</t>
  </si>
  <si>
    <t>H917P645</t>
  </si>
  <si>
    <t>Nonepu</t>
  </si>
  <si>
    <t>P251H335</t>
  </si>
  <si>
    <t>Lecime</t>
  </si>
  <si>
    <t>P817P636</t>
  </si>
  <si>
    <t>Pitonotopo</t>
  </si>
  <si>
    <t>H421P334</t>
  </si>
  <si>
    <t>Rulivepe</t>
  </si>
  <si>
    <t>H243P969</t>
  </si>
  <si>
    <t>Rapupatota</t>
  </si>
  <si>
    <t>H662P823</t>
  </si>
  <si>
    <t>Porora</t>
  </si>
  <si>
    <t>H818H385</t>
  </si>
  <si>
    <t>Ripudeno</t>
  </si>
  <si>
    <t>P349H977</t>
  </si>
  <si>
    <t>Pupanate</t>
  </si>
  <si>
    <t>P889P116</t>
  </si>
  <si>
    <t>Regevori</t>
  </si>
  <si>
    <t>H177P477</t>
  </si>
  <si>
    <t>Leduri</t>
  </si>
  <si>
    <t>P728P973</t>
  </si>
  <si>
    <t>Tudero</t>
  </si>
  <si>
    <t>H926P739</t>
  </si>
  <si>
    <t>Liripapopo</t>
  </si>
  <si>
    <t>P524H257</t>
  </si>
  <si>
    <t>Vupoto</t>
  </si>
  <si>
    <t>H432H259</t>
  </si>
  <si>
    <t>Davicu</t>
  </si>
  <si>
    <t>P844P563</t>
  </si>
  <si>
    <t>Mitipere</t>
  </si>
  <si>
    <t>P526P552</t>
  </si>
  <si>
    <t>Taviropage</t>
  </si>
  <si>
    <t>H522P777</t>
  </si>
  <si>
    <t>Pafevofune</t>
  </si>
  <si>
    <t>H471H591</t>
  </si>
  <si>
    <t>Gipopocati</t>
  </si>
  <si>
    <t>P916P472</t>
  </si>
  <si>
    <t>Revonepu</t>
  </si>
  <si>
    <t>P398P181</t>
  </si>
  <si>
    <t>Neteve</t>
  </si>
  <si>
    <t>H433H869</t>
  </si>
  <si>
    <t>Tagorutodi</t>
  </si>
  <si>
    <t>H623P411</t>
  </si>
  <si>
    <t>Moturopipa</t>
  </si>
  <si>
    <t>P838H297</t>
  </si>
  <si>
    <t>Rumere</t>
  </si>
  <si>
    <t>H951H169</t>
  </si>
  <si>
    <t>Fenulemoro</t>
  </si>
  <si>
    <t>H264H542</t>
  </si>
  <si>
    <t>Patepuni</t>
  </si>
  <si>
    <t>H247H426</t>
  </si>
  <si>
    <t>Fagonitino</t>
  </si>
  <si>
    <t>H789H461</t>
  </si>
  <si>
    <t>Merele</t>
  </si>
  <si>
    <t>H955P819</t>
  </si>
  <si>
    <t>Cogorigere</t>
  </si>
  <si>
    <t>P844P851</t>
  </si>
  <si>
    <t>Pipete</t>
  </si>
  <si>
    <t>P675P876</t>
  </si>
  <si>
    <t>Latogogi</t>
  </si>
  <si>
    <t>H114H376</t>
  </si>
  <si>
    <t>Regadaletu</t>
  </si>
  <si>
    <t>H322P878</t>
  </si>
  <si>
    <t>Camonofa</t>
  </si>
  <si>
    <t>H834P831</t>
  </si>
  <si>
    <t>Licapiro</t>
  </si>
  <si>
    <t>H948H323</t>
  </si>
  <si>
    <t>Litimupupe</t>
  </si>
  <si>
    <t>H758P165</t>
  </si>
  <si>
    <t>Vuvinego</t>
  </si>
  <si>
    <t>P354H565</t>
  </si>
  <si>
    <t>Rogereteta</t>
  </si>
  <si>
    <t>H244H687</t>
  </si>
  <si>
    <t>Leripu</t>
  </si>
  <si>
    <t>P959H347</t>
  </si>
  <si>
    <t>Pavifepo</t>
  </si>
  <si>
    <t>H499P514</t>
  </si>
  <si>
    <t>Gutafufare</t>
  </si>
  <si>
    <t>P626P614</t>
  </si>
  <si>
    <t>Tolonarudu</t>
  </si>
  <si>
    <t>P226P511</t>
  </si>
  <si>
    <t>Pocevaru</t>
  </si>
  <si>
    <t>H419H366</t>
  </si>
  <si>
    <t>Tugutono</t>
  </si>
  <si>
    <t>P212P331</t>
  </si>
  <si>
    <t>Dogucu</t>
  </si>
  <si>
    <t>P674P315</t>
  </si>
  <si>
    <t>Tadefe</t>
  </si>
  <si>
    <t>P964P744</t>
  </si>
  <si>
    <t>Girepi</t>
  </si>
  <si>
    <t>P593H789</t>
  </si>
  <si>
    <t>Pumagape</t>
  </si>
  <si>
    <t>P973H998</t>
  </si>
  <si>
    <t>Digatolupe</t>
  </si>
  <si>
    <t>H767H758</t>
  </si>
  <si>
    <t>Luguto</t>
  </si>
  <si>
    <t>P281H999</t>
  </si>
  <si>
    <t>Legepolo</t>
  </si>
  <si>
    <t>H265H291</t>
  </si>
  <si>
    <t>Rudapira</t>
  </si>
  <si>
    <t>H932P876</t>
  </si>
  <si>
    <t>Rocani</t>
  </si>
  <si>
    <t>H251P532</t>
  </si>
  <si>
    <t>Varadorito</t>
  </si>
  <si>
    <t>P529P447</t>
  </si>
  <si>
    <t>Verivonefo</t>
  </si>
  <si>
    <t>H284H638</t>
  </si>
  <si>
    <t>Tarura</t>
  </si>
  <si>
    <t>P373P773</t>
  </si>
  <si>
    <t>Tetovimi</t>
  </si>
  <si>
    <t>H354H418</t>
  </si>
  <si>
    <t>Rurigadopa</t>
  </si>
  <si>
    <t>H458P866</t>
  </si>
  <si>
    <t>Ciloropo</t>
  </si>
  <si>
    <t>P864H892</t>
  </si>
  <si>
    <t>Duneralupa</t>
  </si>
  <si>
    <t>H264P881</t>
  </si>
  <si>
    <t>Padogugiro</t>
  </si>
  <si>
    <t>H752P914</t>
  </si>
  <si>
    <t>Cirovo</t>
  </si>
  <si>
    <t>H114P791</t>
  </si>
  <si>
    <t>Temacavapu</t>
  </si>
  <si>
    <t>P995H378</t>
  </si>
  <si>
    <t>Dorate</t>
  </si>
  <si>
    <t>P492P955</t>
  </si>
  <si>
    <t>Teriliro</t>
  </si>
  <si>
    <t>H962H791</t>
  </si>
  <si>
    <t>Furetugucu</t>
  </si>
  <si>
    <t>P791H994</t>
  </si>
  <si>
    <t>Vuvadapi</t>
  </si>
  <si>
    <t>H939P167</t>
  </si>
  <si>
    <t>Pecoti</t>
  </si>
  <si>
    <t>P622P181</t>
  </si>
  <si>
    <t>Dameca</t>
  </si>
  <si>
    <t>H238H984</t>
  </si>
  <si>
    <t>Potuta</t>
  </si>
  <si>
    <t>H137P515</t>
  </si>
  <si>
    <t>Catuna</t>
  </si>
  <si>
    <t>H672P964</t>
  </si>
  <si>
    <t>Gavuvu</t>
  </si>
  <si>
    <t>P941P534</t>
  </si>
  <si>
    <t>Ruduru</t>
  </si>
  <si>
    <t>P299H413</t>
  </si>
  <si>
    <t>Varopupepo</t>
  </si>
  <si>
    <t>P242P376</t>
  </si>
  <si>
    <t>Piripovu</t>
  </si>
  <si>
    <t>H543H834</t>
  </si>
  <si>
    <t>Varive</t>
  </si>
  <si>
    <t>H867P288</t>
  </si>
  <si>
    <t>Paleropu</t>
  </si>
  <si>
    <t>H611P813</t>
  </si>
  <si>
    <t>Gupati</t>
  </si>
  <si>
    <t>P161P343</t>
  </si>
  <si>
    <t>Rucomofu</t>
  </si>
  <si>
    <t>H535P279</t>
  </si>
  <si>
    <t>Ruvepila</t>
  </si>
  <si>
    <t>P964H395</t>
  </si>
  <si>
    <t>Miguvufopu</t>
  </si>
  <si>
    <t>P839P648</t>
  </si>
  <si>
    <t>Cotiru</t>
  </si>
  <si>
    <t>P879H432</t>
  </si>
  <si>
    <t>Metifagatu</t>
  </si>
  <si>
    <t>H761H681</t>
  </si>
  <si>
    <t>Tiduvife</t>
  </si>
  <si>
    <t>H891P434</t>
  </si>
  <si>
    <t>Vafilu</t>
  </si>
  <si>
    <t>P887H497</t>
  </si>
  <si>
    <t>Deferino</t>
  </si>
  <si>
    <t>P865H953</t>
  </si>
  <si>
    <t>Linevego</t>
  </si>
  <si>
    <t>P282H254</t>
  </si>
  <si>
    <t>Pamali</t>
  </si>
  <si>
    <t>P899P924</t>
  </si>
  <si>
    <t>Totico</t>
  </si>
  <si>
    <t>P793P842</t>
  </si>
  <si>
    <t>Nemimeta</t>
  </si>
  <si>
    <t>P254P192</t>
  </si>
  <si>
    <t>Pudapipipa</t>
  </si>
  <si>
    <t>H273P274</t>
  </si>
  <si>
    <t>Doretoto</t>
  </si>
  <si>
    <t>P415H914</t>
  </si>
  <si>
    <t>Popumupe</t>
  </si>
  <si>
    <t>P795P163</t>
  </si>
  <si>
    <t>Rapucufi</t>
  </si>
  <si>
    <t>H244P352</t>
  </si>
  <si>
    <t>Fufipu</t>
  </si>
  <si>
    <t>P992H261</t>
  </si>
  <si>
    <t>Cepapipitu</t>
  </si>
  <si>
    <t>P318P746</t>
  </si>
  <si>
    <t>Ripuru</t>
  </si>
  <si>
    <t>H371P855</t>
  </si>
  <si>
    <t>Tanolafu</t>
  </si>
  <si>
    <t>P539H397</t>
  </si>
  <si>
    <t>Polemapa</t>
  </si>
  <si>
    <t>H682P281</t>
  </si>
  <si>
    <t>Turido</t>
  </si>
  <si>
    <t>P794P226</t>
  </si>
  <si>
    <t>Dalere</t>
  </si>
  <si>
    <t>P453H434</t>
  </si>
  <si>
    <t>Fetarica</t>
  </si>
  <si>
    <t>H723H359</t>
  </si>
  <si>
    <t>Tupivu</t>
  </si>
  <si>
    <t>H764P358</t>
  </si>
  <si>
    <t>Fitoripimo</t>
  </si>
  <si>
    <t>H656H553</t>
  </si>
  <si>
    <t>Guripevi</t>
  </si>
  <si>
    <t>H689P329</t>
  </si>
  <si>
    <t>Toripugo</t>
  </si>
  <si>
    <t>H964H642</t>
  </si>
  <si>
    <t>Futetagu</t>
  </si>
  <si>
    <t>H973H262</t>
  </si>
  <si>
    <t>Tipigipi</t>
  </si>
  <si>
    <t>H491P645</t>
  </si>
  <si>
    <t>Tudipo</t>
  </si>
  <si>
    <t>P984P119</t>
  </si>
  <si>
    <t>Ralopu</t>
  </si>
  <si>
    <t>H552P898</t>
  </si>
  <si>
    <t>Pupegofuti</t>
  </si>
  <si>
    <t>P487P759</t>
  </si>
  <si>
    <t>Tedupe</t>
  </si>
  <si>
    <t>H738H111</t>
  </si>
  <si>
    <t>Tugifemepo</t>
  </si>
  <si>
    <t>H725H432</t>
  </si>
  <si>
    <t>Poguverivi</t>
  </si>
  <si>
    <t>H754H727</t>
  </si>
  <si>
    <t>Tatitu</t>
  </si>
  <si>
    <t>P167H831</t>
  </si>
  <si>
    <t>Ricurapo</t>
  </si>
  <si>
    <t>H776P778</t>
  </si>
  <si>
    <t>Vucegi</t>
  </si>
  <si>
    <t>P775H845</t>
  </si>
  <si>
    <t>Temumufa</t>
  </si>
  <si>
    <t>H646H892</t>
  </si>
  <si>
    <t>Duremi</t>
  </si>
  <si>
    <t>P553H296</t>
  </si>
  <si>
    <t>Tepifelefi</t>
  </si>
  <si>
    <t>H827H718</t>
  </si>
  <si>
    <t>Ropepicimo</t>
  </si>
  <si>
    <t>P825P829</t>
  </si>
  <si>
    <t>Nimopone</t>
  </si>
  <si>
    <t>P534P653</t>
  </si>
  <si>
    <t>Rupepineli</t>
  </si>
  <si>
    <t>H835P227</t>
  </si>
  <si>
    <t>Mevaficuce</t>
  </si>
  <si>
    <t>H359P456</t>
  </si>
  <si>
    <t>Vunamote</t>
  </si>
  <si>
    <t>P697H123</t>
  </si>
  <si>
    <t>Cugunitama</t>
  </si>
  <si>
    <t>P795H816</t>
  </si>
  <si>
    <t>Pevupetiti</t>
  </si>
  <si>
    <t>H124P283</t>
  </si>
  <si>
    <t>Lopatife</t>
  </si>
  <si>
    <t>P598H446</t>
  </si>
  <si>
    <t>Pofatuteru</t>
  </si>
  <si>
    <t>H231H188</t>
  </si>
  <si>
    <t>Lococufime</t>
  </si>
  <si>
    <t>H191H874</t>
  </si>
  <si>
    <t>Latoratepi</t>
  </si>
  <si>
    <t>P162H618</t>
  </si>
  <si>
    <t>Mumila</t>
  </si>
  <si>
    <t>H979H673</t>
  </si>
  <si>
    <t>Vitome</t>
  </si>
  <si>
    <t>P343H759</t>
  </si>
  <si>
    <t>Fapicodoro</t>
  </si>
  <si>
    <t>H359P522</t>
  </si>
  <si>
    <t>Cotetu</t>
  </si>
  <si>
    <t>H118H764</t>
  </si>
  <si>
    <t>Tovipu</t>
  </si>
  <si>
    <t>H966P977</t>
  </si>
  <si>
    <t>Pirupori</t>
  </si>
  <si>
    <t>P522H225</t>
  </si>
  <si>
    <t>Covufa</t>
  </si>
  <si>
    <t>P141P481</t>
  </si>
  <si>
    <t>Rapivumu</t>
  </si>
  <si>
    <t>P366P378</t>
  </si>
  <si>
    <t>Rerulilofe</t>
  </si>
  <si>
    <t>H252H228</t>
  </si>
  <si>
    <t>Pugonatepo</t>
  </si>
  <si>
    <t>P357P358</t>
  </si>
  <si>
    <t>Pufipegaru</t>
  </si>
  <si>
    <t>P669P573</t>
  </si>
  <si>
    <t>Gucatuco</t>
  </si>
  <si>
    <t>H743H119</t>
  </si>
  <si>
    <t>Nuridolulu</t>
  </si>
  <si>
    <t>H544P891</t>
  </si>
  <si>
    <t>Fopepeti</t>
  </si>
  <si>
    <t>P772H198</t>
  </si>
  <si>
    <t>Tameno</t>
  </si>
  <si>
    <t>P561P366</t>
  </si>
  <si>
    <t>Tapovefe</t>
  </si>
  <si>
    <t>H231P437</t>
  </si>
  <si>
    <t>Cupara</t>
  </si>
  <si>
    <t>P724P994</t>
  </si>
  <si>
    <t>Mafune</t>
  </si>
  <si>
    <t>P472P981</t>
  </si>
  <si>
    <t>Potufifapo</t>
  </si>
  <si>
    <t>H468P119</t>
  </si>
  <si>
    <t>Pepinireva</t>
  </si>
  <si>
    <t>H233H424</t>
  </si>
  <si>
    <t>Piriti</t>
  </si>
  <si>
    <t>H837H464</t>
  </si>
  <si>
    <t>Lucogipi</t>
  </si>
  <si>
    <t>H253P598</t>
  </si>
  <si>
    <t>Fomofodano</t>
  </si>
  <si>
    <t>P159P667</t>
  </si>
  <si>
    <t>Paluruvepe</t>
  </si>
  <si>
    <t>P384P394</t>
  </si>
  <si>
    <t>Fetaro</t>
  </si>
  <si>
    <t>P122P464</t>
  </si>
  <si>
    <t>Fuvatuve</t>
  </si>
  <si>
    <t>H433H847</t>
  </si>
  <si>
    <t>Cifetu</t>
  </si>
  <si>
    <t>H218H359</t>
  </si>
  <si>
    <t>Ledatete</t>
  </si>
  <si>
    <t>H792P426</t>
  </si>
  <si>
    <t>Pavumocige</t>
  </si>
  <si>
    <t>P324P954</t>
  </si>
  <si>
    <t>Cuvuvepo</t>
  </si>
  <si>
    <t>P116H588</t>
  </si>
  <si>
    <t>Tivatepida</t>
  </si>
  <si>
    <t>H915H326</t>
  </si>
  <si>
    <t>Puponapo</t>
  </si>
  <si>
    <t>P912H546</t>
  </si>
  <si>
    <t>Natavi</t>
  </si>
  <si>
    <t>P767H833</t>
  </si>
  <si>
    <t>Pevuto</t>
  </si>
  <si>
    <t>H884H336</t>
  </si>
  <si>
    <t>Pamanalacu</t>
  </si>
  <si>
    <t>H826P234</t>
  </si>
  <si>
    <t>Docitipuno</t>
  </si>
  <si>
    <t>H171H831</t>
  </si>
  <si>
    <t>Tecani</t>
  </si>
  <si>
    <t>H864H391</t>
  </si>
  <si>
    <t>Vatoripe</t>
  </si>
  <si>
    <t>P879H624</t>
  </si>
  <si>
    <t>Devulinami</t>
  </si>
  <si>
    <t>H577H754</t>
  </si>
  <si>
    <t>Roduma</t>
  </si>
  <si>
    <t>P363P987</t>
  </si>
  <si>
    <t>Tepivu</t>
  </si>
  <si>
    <t>P356H281</t>
  </si>
  <si>
    <t>Copocaco</t>
  </si>
  <si>
    <t>P225H561</t>
  </si>
  <si>
    <t>Pugelumapu</t>
  </si>
  <si>
    <t>H293P564</t>
  </si>
  <si>
    <t>Retomupeci</t>
  </si>
  <si>
    <t>P282H253</t>
  </si>
  <si>
    <t>Muluti</t>
  </si>
  <si>
    <t>P231P869</t>
  </si>
  <si>
    <t>Putolitoru</t>
  </si>
  <si>
    <t>H547H429</t>
  </si>
  <si>
    <t>Firuritu</t>
  </si>
  <si>
    <t>P271H832</t>
  </si>
  <si>
    <t>Tedoda</t>
  </si>
  <si>
    <t>P128H533</t>
  </si>
  <si>
    <t>Valapi</t>
  </si>
  <si>
    <t>P483H688</t>
  </si>
  <si>
    <t>Viticipu</t>
  </si>
  <si>
    <t>P494H515</t>
  </si>
  <si>
    <t>Totuninotu</t>
  </si>
  <si>
    <t>H647P999</t>
  </si>
  <si>
    <t>Mamema</t>
  </si>
  <si>
    <t>P576H167</t>
  </si>
  <si>
    <t>Popufu</t>
  </si>
  <si>
    <t>P523H155</t>
  </si>
  <si>
    <t>Numeporare</t>
  </si>
  <si>
    <t>H489H934</t>
  </si>
  <si>
    <t>Macetivo</t>
  </si>
  <si>
    <t>H186P148</t>
  </si>
  <si>
    <t>Delevo</t>
  </si>
  <si>
    <t>P223P139</t>
  </si>
  <si>
    <t>Lucatutidu</t>
  </si>
  <si>
    <t>H976H233</t>
  </si>
  <si>
    <t>Pomumi</t>
  </si>
  <si>
    <t>P935H271</t>
  </si>
  <si>
    <t>Digarolumi</t>
  </si>
  <si>
    <t>H353P332</t>
  </si>
  <si>
    <t>Poreda</t>
  </si>
  <si>
    <t>P246P821</t>
  </si>
  <si>
    <t>Momupa</t>
  </si>
  <si>
    <t>P892H748</t>
  </si>
  <si>
    <t>Topape</t>
  </si>
  <si>
    <t>H927H182</t>
  </si>
  <si>
    <t>Pifuvi</t>
  </si>
  <si>
    <t>P367H993</t>
  </si>
  <si>
    <t>Nutuvi</t>
  </si>
  <si>
    <t>H441H196</t>
  </si>
  <si>
    <t>Ritaperuno</t>
  </si>
  <si>
    <t>H949P319</t>
  </si>
  <si>
    <t>Papece</t>
  </si>
  <si>
    <t>P545P331</t>
  </si>
  <si>
    <t>Rotucera</t>
  </si>
  <si>
    <t>P292H889</t>
  </si>
  <si>
    <t>Rivavo</t>
  </si>
  <si>
    <t>H842P997</t>
  </si>
  <si>
    <t>Lapuruma</t>
  </si>
  <si>
    <t>H934H922</t>
  </si>
  <si>
    <t>Povitepelo</t>
  </si>
  <si>
    <t>P968H272</t>
  </si>
  <si>
    <t>Tifotuvipo</t>
  </si>
  <si>
    <t>H446P158</t>
  </si>
  <si>
    <t>Ritomilu</t>
  </si>
  <si>
    <t>P852H735</t>
  </si>
  <si>
    <t>Padunu</t>
  </si>
  <si>
    <t>P749P821</t>
  </si>
  <si>
    <t>Fipero</t>
  </si>
  <si>
    <t>H638H495</t>
  </si>
  <si>
    <t>Vicofegu</t>
  </si>
  <si>
    <t>H186H326</t>
  </si>
  <si>
    <t>Melororivu</t>
  </si>
  <si>
    <t>H526H419</t>
  </si>
  <si>
    <t>Daguputore</t>
  </si>
  <si>
    <t>P212H846</t>
  </si>
  <si>
    <t>Rocurafatu</t>
  </si>
  <si>
    <t>P633P762</t>
  </si>
  <si>
    <t>Nifupigi</t>
  </si>
  <si>
    <t>P442P556</t>
  </si>
  <si>
    <t>Fugola</t>
  </si>
  <si>
    <t>H179P519</t>
  </si>
  <si>
    <t>Putetociru</t>
  </si>
  <si>
    <t>P434H748</t>
  </si>
  <si>
    <t>Tafovo</t>
  </si>
  <si>
    <t>H471P831</t>
  </si>
  <si>
    <t>Dunilotica</t>
  </si>
  <si>
    <t>P742H183</t>
  </si>
  <si>
    <t>Piperore</t>
  </si>
  <si>
    <t>P341P122</t>
  </si>
  <si>
    <t>Rupagu</t>
  </si>
  <si>
    <t>P676P876</t>
  </si>
  <si>
    <t>Mutede</t>
  </si>
  <si>
    <t>H449P926</t>
  </si>
  <si>
    <t>Comoti</t>
  </si>
  <si>
    <t>H974P559</t>
  </si>
  <si>
    <t>Pacepo</t>
  </si>
  <si>
    <t>P786P111</t>
  </si>
  <si>
    <t>Rarigu</t>
  </si>
  <si>
    <t>P196H979</t>
  </si>
  <si>
    <t>Ruletorupi</t>
  </si>
  <si>
    <t>H931H964</t>
  </si>
  <si>
    <t>Rudiceci</t>
  </si>
  <si>
    <t>H639H983</t>
  </si>
  <si>
    <t>Panapuce</t>
  </si>
  <si>
    <t>H823H576</t>
  </si>
  <si>
    <t>Vulepe</t>
  </si>
  <si>
    <t>H552P426</t>
  </si>
  <si>
    <t>Gelere</t>
  </si>
  <si>
    <t>P953H968</t>
  </si>
  <si>
    <t>Tocada</t>
  </si>
  <si>
    <t>P369P298</t>
  </si>
  <si>
    <t>Rafelo</t>
  </si>
  <si>
    <t>P993P712</t>
  </si>
  <si>
    <t>Paviditupo</t>
  </si>
  <si>
    <t>P264H952</t>
  </si>
  <si>
    <t>Vipoteturu</t>
  </si>
  <si>
    <t>H412H268</t>
  </si>
  <si>
    <t>Redidurogo</t>
  </si>
  <si>
    <t>P998H789</t>
  </si>
  <si>
    <t>Falivoco</t>
  </si>
  <si>
    <t>P915P594</t>
  </si>
  <si>
    <t>Gocura</t>
  </si>
  <si>
    <t>P387P985</t>
  </si>
  <si>
    <t>Modupode</t>
  </si>
  <si>
    <t>H874P213</t>
  </si>
  <si>
    <t>Temidi</t>
  </si>
  <si>
    <t>P498P933</t>
  </si>
  <si>
    <t>Rudavoda</t>
  </si>
  <si>
    <t>H964P645</t>
  </si>
  <si>
    <t>Depecetatu</t>
  </si>
  <si>
    <t>P439H825</t>
  </si>
  <si>
    <t>Mupavicu</t>
  </si>
  <si>
    <t>H294P857</t>
  </si>
  <si>
    <t>Cirigo</t>
  </si>
  <si>
    <t>P458H421</t>
  </si>
  <si>
    <t>Vucitace</t>
  </si>
  <si>
    <t>P151P983</t>
  </si>
  <si>
    <t>Licopo</t>
  </si>
  <si>
    <t>H345P239</t>
  </si>
  <si>
    <t>Pamedorupu</t>
  </si>
  <si>
    <t>H479H476</t>
  </si>
  <si>
    <t>Tecaripi</t>
  </si>
  <si>
    <t>P816P947</t>
  </si>
  <si>
    <t>Curatiri</t>
  </si>
  <si>
    <t>H311H344</t>
  </si>
  <si>
    <t>Pipiromi</t>
  </si>
  <si>
    <t>P655P211</t>
  </si>
  <si>
    <t>Notadi</t>
  </si>
  <si>
    <t>P646P824</t>
  </si>
  <si>
    <t>Rerifora</t>
  </si>
  <si>
    <t>P229H271</t>
  </si>
  <si>
    <t>Patuputupe</t>
  </si>
  <si>
    <t>P521P968</t>
  </si>
  <si>
    <t>Gerepiripo</t>
  </si>
  <si>
    <t>P521H651</t>
  </si>
  <si>
    <t>Fivepute</t>
  </si>
  <si>
    <t>P937H648</t>
  </si>
  <si>
    <t>Vicupupa</t>
  </si>
  <si>
    <t>H369H177</t>
  </si>
  <si>
    <t>Pupegone</t>
  </si>
  <si>
    <t>P354H288</t>
  </si>
  <si>
    <t>Teregi</t>
  </si>
  <si>
    <t>H371P465</t>
  </si>
  <si>
    <t>Tarapavo</t>
  </si>
  <si>
    <t>H898H659</t>
  </si>
  <si>
    <t>Dafetopete</t>
  </si>
  <si>
    <t>H213P173</t>
  </si>
  <si>
    <t>Ridovita</t>
  </si>
  <si>
    <t>P568P718</t>
  </si>
  <si>
    <t>Natutufote</t>
  </si>
  <si>
    <t>P141P554</t>
  </si>
  <si>
    <t>Ditodu</t>
  </si>
  <si>
    <t>P139P865</t>
  </si>
  <si>
    <t>Purepepi</t>
  </si>
  <si>
    <t>P573P269</t>
  </si>
  <si>
    <t>Vonuvuce</t>
  </si>
  <si>
    <t>H351H229</t>
  </si>
  <si>
    <t>Norurali</t>
  </si>
  <si>
    <t>P991P641</t>
  </si>
  <si>
    <t>Fagepedu</t>
  </si>
  <si>
    <t>P262H353</t>
  </si>
  <si>
    <t>Dufimuvoti</t>
  </si>
  <si>
    <t>H733H875</t>
  </si>
  <si>
    <t>Pepileru</t>
  </si>
  <si>
    <t>H847P629</t>
  </si>
  <si>
    <t>Mapotifuma</t>
  </si>
  <si>
    <t>P326H353</t>
  </si>
  <si>
    <t>Muducifi</t>
  </si>
  <si>
    <t>P639H183</t>
  </si>
  <si>
    <t>Garurapive</t>
  </si>
  <si>
    <t>H415H984</t>
  </si>
  <si>
    <t>Tepudo</t>
  </si>
  <si>
    <t>P724H737</t>
  </si>
  <si>
    <t>Dacoda</t>
  </si>
  <si>
    <t>H831P148</t>
  </si>
  <si>
    <t>Dicerupi</t>
  </si>
  <si>
    <t>P934P231</t>
  </si>
  <si>
    <t>Virici</t>
  </si>
  <si>
    <t>H548P783</t>
  </si>
  <si>
    <t>Napetovimu</t>
  </si>
  <si>
    <t>P875H628</t>
  </si>
  <si>
    <t>Cofogetato</t>
  </si>
  <si>
    <t>P754H458</t>
  </si>
  <si>
    <t>Paninepoto</t>
  </si>
  <si>
    <t>P682P314</t>
  </si>
  <si>
    <t>Miporiti</t>
  </si>
  <si>
    <t>H954P638</t>
  </si>
  <si>
    <t>Pepepotori</t>
  </si>
  <si>
    <t>H894H912</t>
  </si>
  <si>
    <t>Muvogi</t>
  </si>
  <si>
    <t>H686P199</t>
  </si>
  <si>
    <t>Pulifeci</t>
  </si>
  <si>
    <t>P466H834</t>
  </si>
  <si>
    <t>Timimepema</t>
  </si>
  <si>
    <t>P917P876</t>
  </si>
  <si>
    <t>Gatati</t>
  </si>
  <si>
    <t>P982H262</t>
  </si>
  <si>
    <t>Fitavapiru</t>
  </si>
  <si>
    <t>P165H127</t>
  </si>
  <si>
    <t>Lecita</t>
  </si>
  <si>
    <t>P636P257</t>
  </si>
  <si>
    <t>Lefupeturo</t>
  </si>
  <si>
    <t>H597P272</t>
  </si>
  <si>
    <t>Fanadaticu</t>
  </si>
  <si>
    <t>P447P415</t>
  </si>
  <si>
    <t>Ritapucu</t>
  </si>
  <si>
    <t>H587H188</t>
  </si>
  <si>
    <t>Rovamuto</t>
  </si>
  <si>
    <t>P496P617</t>
  </si>
  <si>
    <t>Dunape</t>
  </si>
  <si>
    <t>H143H222</t>
  </si>
  <si>
    <t>Gidenope</t>
  </si>
  <si>
    <t>P152P311</t>
  </si>
  <si>
    <t>Lunetotica</t>
  </si>
  <si>
    <t>H266H778</t>
  </si>
  <si>
    <t>Dovetumofi</t>
  </si>
  <si>
    <t>P976P355</t>
  </si>
  <si>
    <t>Liretugina</t>
  </si>
  <si>
    <t>P996P462</t>
  </si>
  <si>
    <t>Fotenofome</t>
  </si>
  <si>
    <t>P877P834</t>
  </si>
  <si>
    <t>Lalegoru</t>
  </si>
  <si>
    <t>H143P894</t>
  </si>
  <si>
    <t>Dumeromo</t>
  </si>
  <si>
    <t>P788H492</t>
  </si>
  <si>
    <t>Purupona</t>
  </si>
  <si>
    <t>H473H163</t>
  </si>
  <si>
    <t>Nalecaru</t>
  </si>
  <si>
    <t>P689P583</t>
  </si>
  <si>
    <t>Torifoniru</t>
  </si>
  <si>
    <t>H731H373</t>
  </si>
  <si>
    <t>Pemeca</t>
  </si>
  <si>
    <t>H171P269</t>
  </si>
  <si>
    <t>Luleru</t>
  </si>
  <si>
    <t>H747H688</t>
  </si>
  <si>
    <t>Putedo</t>
  </si>
  <si>
    <t>P535H661</t>
  </si>
  <si>
    <t>Teludife</t>
  </si>
  <si>
    <t>H721P935</t>
  </si>
  <si>
    <t>Dovuve</t>
  </si>
  <si>
    <t>H931H162</t>
  </si>
  <si>
    <t>Rifipileve</t>
  </si>
  <si>
    <t>P654P282</t>
  </si>
  <si>
    <t>Retirufo</t>
  </si>
  <si>
    <t>P971P553</t>
  </si>
  <si>
    <t>Nalirarola</t>
  </si>
  <si>
    <t>P144H353</t>
  </si>
  <si>
    <t>Tetuto</t>
  </si>
  <si>
    <t>P744P148</t>
  </si>
  <si>
    <t>Pemero</t>
  </si>
  <si>
    <t>H973P866</t>
  </si>
  <si>
    <t>Pipepo</t>
  </si>
  <si>
    <t>P272P918</t>
  </si>
  <si>
    <t>Mocupomugu</t>
  </si>
  <si>
    <t>P993H465</t>
  </si>
  <si>
    <t>Pitoru</t>
  </si>
  <si>
    <t>P525P882</t>
  </si>
  <si>
    <t>Pageco</t>
  </si>
  <si>
    <t>P442H931</t>
  </si>
  <si>
    <t>Pelepepi</t>
  </si>
  <si>
    <t>H794H875</t>
  </si>
  <si>
    <t>Cefuci</t>
  </si>
  <si>
    <t>P914P585</t>
  </si>
  <si>
    <t>Nudimufori</t>
  </si>
  <si>
    <t>P484H561</t>
  </si>
  <si>
    <t>Foropi</t>
  </si>
  <si>
    <t>P246P553</t>
  </si>
  <si>
    <t>Tivepiroco</t>
  </si>
  <si>
    <t>P135H369</t>
  </si>
  <si>
    <t>Vimegotadu</t>
  </si>
  <si>
    <t>H873P119</t>
  </si>
  <si>
    <t>Pinufuru</t>
  </si>
  <si>
    <t>H411H829</t>
  </si>
  <si>
    <t>Puvuroli</t>
  </si>
  <si>
    <t>H843H273</t>
  </si>
  <si>
    <t>Pepitapa</t>
  </si>
  <si>
    <t>P678H498</t>
  </si>
  <si>
    <t>Popetu</t>
  </si>
  <si>
    <t>H566P687</t>
  </si>
  <si>
    <t>Pucupa</t>
  </si>
  <si>
    <t>H241H159</t>
  </si>
  <si>
    <t>Cimudalipi</t>
  </si>
  <si>
    <t>H893P286</t>
  </si>
  <si>
    <t>Lorapelevo</t>
  </si>
  <si>
    <t>P829P357</t>
  </si>
  <si>
    <t>Loteto</t>
  </si>
  <si>
    <t>H139P161</t>
  </si>
  <si>
    <t>Tafecaguto</t>
  </si>
  <si>
    <t>P677P457</t>
  </si>
  <si>
    <t>Mimotu</t>
  </si>
  <si>
    <t>H386P757</t>
  </si>
  <si>
    <t>Focigu</t>
  </si>
  <si>
    <t>H959H643</t>
  </si>
  <si>
    <t>Milatipa</t>
  </si>
  <si>
    <t>P969P983</t>
  </si>
  <si>
    <t>Pogodipoma</t>
  </si>
  <si>
    <t>H933P916</t>
  </si>
  <si>
    <t>Pivugodutu</t>
  </si>
  <si>
    <t>H953H947</t>
  </si>
  <si>
    <t>Nuritolepo</t>
  </si>
  <si>
    <t>H864H312</t>
  </si>
  <si>
    <t>Volota</t>
  </si>
  <si>
    <t>H233P313</t>
  </si>
  <si>
    <t>Ditipefade</t>
  </si>
  <si>
    <t>H299H486</t>
  </si>
  <si>
    <t>Pipetegevu</t>
  </si>
  <si>
    <t>H475H588</t>
  </si>
  <si>
    <t>Vefeteto</t>
  </si>
  <si>
    <t>H239H474</t>
  </si>
  <si>
    <t>Fidigutici</t>
  </si>
  <si>
    <t>P831P155</t>
  </si>
  <si>
    <t>Varifitimi</t>
  </si>
  <si>
    <t>H542P473</t>
  </si>
  <si>
    <t>Radulilo</t>
  </si>
  <si>
    <t>P112H492</t>
  </si>
  <si>
    <t>Gomopu</t>
  </si>
  <si>
    <t>P524P346</t>
  </si>
  <si>
    <t>Dopagapu</t>
  </si>
  <si>
    <t>H683H225</t>
  </si>
  <si>
    <t>Memupope</t>
  </si>
  <si>
    <t>P215H152</t>
  </si>
  <si>
    <t>Gopepope</t>
  </si>
  <si>
    <t>P484P612</t>
  </si>
  <si>
    <t>Ruteme</t>
  </si>
  <si>
    <t>P253P579</t>
  </si>
  <si>
    <t>Rumetofo</t>
  </si>
  <si>
    <t>H744P271</t>
  </si>
  <si>
    <t>Pifalumudi</t>
  </si>
  <si>
    <t>P212P883</t>
  </si>
  <si>
    <t>Rifitu</t>
  </si>
  <si>
    <t>H787P923</t>
  </si>
  <si>
    <t>Vidipu</t>
  </si>
  <si>
    <t>Vomari</t>
  </si>
  <si>
    <t>P157H825</t>
  </si>
  <si>
    <t>Dafapimuro</t>
  </si>
  <si>
    <t>H289H557</t>
  </si>
  <si>
    <t>Depaloda</t>
  </si>
  <si>
    <t>H964H355</t>
  </si>
  <si>
    <t>Veteri</t>
  </si>
  <si>
    <t>P558H147</t>
  </si>
  <si>
    <t>Pecopanu</t>
  </si>
  <si>
    <t>P171P465</t>
  </si>
  <si>
    <t>Nacilipari</t>
  </si>
  <si>
    <t>H135P215</t>
  </si>
  <si>
    <t>Piratuno</t>
  </si>
  <si>
    <t>H961P172</t>
  </si>
  <si>
    <t>Tuvomatifi</t>
  </si>
  <si>
    <t>P263P215</t>
  </si>
  <si>
    <t>Revometifu</t>
  </si>
  <si>
    <t>H176P483</t>
  </si>
  <si>
    <t>Pitocupo</t>
  </si>
  <si>
    <t>H793H261</t>
  </si>
  <si>
    <t>Picegadilu</t>
  </si>
  <si>
    <t>H923H993</t>
  </si>
  <si>
    <t>Levipevepe</t>
  </si>
  <si>
    <t>P715H811</t>
  </si>
  <si>
    <t>Depacefu</t>
  </si>
  <si>
    <t>P131H625</t>
  </si>
  <si>
    <t>Vanulipufi</t>
  </si>
  <si>
    <t>P822P332</t>
  </si>
  <si>
    <t>Fenagucu</t>
  </si>
  <si>
    <t>H226H819</t>
  </si>
  <si>
    <t>Ledudecu</t>
  </si>
  <si>
    <t>P513H761</t>
  </si>
  <si>
    <t>Tetemi</t>
  </si>
  <si>
    <t>P764P745</t>
  </si>
  <si>
    <t>Maguverota</t>
  </si>
  <si>
    <t>P515H443</t>
  </si>
  <si>
    <t>Dopatigu</t>
  </si>
  <si>
    <t>H781H772</t>
  </si>
  <si>
    <t>Popanapi</t>
  </si>
  <si>
    <t>P692H753</t>
  </si>
  <si>
    <t>Volegu</t>
  </si>
  <si>
    <t>P435H541</t>
  </si>
  <si>
    <t>Gocale</t>
  </si>
  <si>
    <t>P572H758</t>
  </si>
  <si>
    <t>Necuma</t>
  </si>
  <si>
    <t>P199H414</t>
  </si>
  <si>
    <t>Dupamilina</t>
  </si>
  <si>
    <t>H438H219</t>
  </si>
  <si>
    <t>Lidopotedo</t>
  </si>
  <si>
    <t>P734P263</t>
  </si>
  <si>
    <t>Cavato</t>
  </si>
  <si>
    <t>P834H148</t>
  </si>
  <si>
    <t>Mararacoma</t>
  </si>
  <si>
    <t>P652P532</t>
  </si>
  <si>
    <t>Citipu</t>
  </si>
  <si>
    <t>P897H296</t>
  </si>
  <si>
    <t>Forepu</t>
  </si>
  <si>
    <t>H243H153</t>
  </si>
  <si>
    <t>Galarilo</t>
  </si>
  <si>
    <t>H193H665</t>
  </si>
  <si>
    <t>Vitafa</t>
  </si>
  <si>
    <t>H818H797</t>
  </si>
  <si>
    <t>Vufumano</t>
  </si>
  <si>
    <t>P375P217</t>
  </si>
  <si>
    <t>Vetere</t>
  </si>
  <si>
    <t>P849H871</t>
  </si>
  <si>
    <t>Girupupelo</t>
  </si>
  <si>
    <t>P861P315</t>
  </si>
  <si>
    <t>Topevoca</t>
  </si>
  <si>
    <t>P157H413</t>
  </si>
  <si>
    <t>Pedeca</t>
  </si>
  <si>
    <t>P114P424</t>
  </si>
  <si>
    <t>Rivomopovo</t>
  </si>
  <si>
    <t>P816H162</t>
  </si>
  <si>
    <t>Fetone</t>
  </si>
  <si>
    <t>P979H868</t>
  </si>
  <si>
    <t>Mavupegula</t>
  </si>
  <si>
    <t>H171H533</t>
  </si>
  <si>
    <t>Napava</t>
  </si>
  <si>
    <t>H746P572</t>
  </si>
  <si>
    <t>Ranuvoru</t>
  </si>
  <si>
    <t>P838P999</t>
  </si>
  <si>
    <t>Pipigufipa</t>
  </si>
  <si>
    <t>P595P183</t>
  </si>
  <si>
    <t>Retotamita</t>
  </si>
  <si>
    <t>H793H564</t>
  </si>
  <si>
    <t>Leceta</t>
  </si>
  <si>
    <t>H663P962</t>
  </si>
  <si>
    <t>Marutu</t>
  </si>
  <si>
    <t>P543H694</t>
  </si>
  <si>
    <t>Vorava</t>
  </si>
  <si>
    <t>H475H829</t>
  </si>
  <si>
    <t>Pitofotopo</t>
  </si>
  <si>
    <t>P564P342</t>
  </si>
  <si>
    <t>Talupiriva</t>
  </si>
  <si>
    <t>P734P414</t>
  </si>
  <si>
    <t>Fugecoco</t>
  </si>
  <si>
    <t>H486P462</t>
  </si>
  <si>
    <t>Famapetugo</t>
  </si>
  <si>
    <t>P913H436</t>
  </si>
  <si>
    <t>Mapipu</t>
  </si>
  <si>
    <t>H731P723</t>
  </si>
  <si>
    <t>Gepeva</t>
  </si>
  <si>
    <t>H892P295</t>
  </si>
  <si>
    <t>Minino</t>
  </si>
  <si>
    <t>H823H157</t>
  </si>
  <si>
    <t>Docape</t>
  </si>
  <si>
    <t>P983P624</t>
  </si>
  <si>
    <t>Mutito</t>
  </si>
  <si>
    <t>P622H447</t>
  </si>
  <si>
    <t>Napano</t>
  </si>
  <si>
    <t>H363P985</t>
  </si>
  <si>
    <t>Rugepoteni</t>
  </si>
  <si>
    <t>H622P377</t>
  </si>
  <si>
    <t>Ficopi</t>
  </si>
  <si>
    <t>P983P623</t>
  </si>
  <si>
    <t>Tomelefo</t>
  </si>
  <si>
    <t>H829P415</t>
  </si>
  <si>
    <t>Gilirepena</t>
  </si>
  <si>
    <t>P922H591</t>
  </si>
  <si>
    <t>Madatane</t>
  </si>
  <si>
    <t>H556H628</t>
  </si>
  <si>
    <t>Pafuveda</t>
  </si>
  <si>
    <t>P344P352</t>
  </si>
  <si>
    <t>Nupigatepu</t>
  </si>
  <si>
    <t>P232P518</t>
  </si>
  <si>
    <t>Tunivipuni</t>
  </si>
  <si>
    <t>H831P729</t>
  </si>
  <si>
    <t>Livovipoda</t>
  </si>
  <si>
    <t>P849H415</t>
  </si>
  <si>
    <t>Vetoci</t>
  </si>
  <si>
    <t>Perorigapi</t>
  </si>
  <si>
    <t>P477H497</t>
  </si>
  <si>
    <t>Ronapopilu</t>
  </si>
  <si>
    <t>H833P265</t>
  </si>
  <si>
    <t>Gimametu</t>
  </si>
  <si>
    <t>P746P148</t>
  </si>
  <si>
    <t>Tareva</t>
  </si>
  <si>
    <t>H491P115</t>
  </si>
  <si>
    <t>Tagutogi</t>
  </si>
  <si>
    <t>P964P741</t>
  </si>
  <si>
    <t>Ropapa</t>
  </si>
  <si>
    <t>H261P913</t>
  </si>
  <si>
    <t>Cupuro</t>
  </si>
  <si>
    <t>H555H872</t>
  </si>
  <si>
    <t>Mapepopetu</t>
  </si>
  <si>
    <t>P541H695</t>
  </si>
  <si>
    <t>Datupida</t>
  </si>
  <si>
    <t>H328H638</t>
  </si>
  <si>
    <t>Dadifiru</t>
  </si>
  <si>
    <t>H138H218</t>
  </si>
  <si>
    <t>Tovomopene</t>
  </si>
  <si>
    <t>P465H764</t>
  </si>
  <si>
    <t>Tularufapi</t>
  </si>
  <si>
    <t>P961H568</t>
  </si>
  <si>
    <t>Vapacimela</t>
  </si>
  <si>
    <t>H448P189</t>
  </si>
  <si>
    <t>Vaficinu</t>
  </si>
  <si>
    <t>H849P841</t>
  </si>
  <si>
    <t>Nerutura</t>
  </si>
  <si>
    <t>H866P428</t>
  </si>
  <si>
    <t>Potudeni</t>
  </si>
  <si>
    <t>H784H123</t>
  </si>
  <si>
    <t>Guranavite</t>
  </si>
  <si>
    <t>P837P592</t>
  </si>
  <si>
    <t>Firapecu</t>
  </si>
  <si>
    <t>P599H157</t>
  </si>
  <si>
    <t>Dupopafe</t>
  </si>
  <si>
    <t>P937H452</t>
  </si>
  <si>
    <t>Papilera</t>
  </si>
  <si>
    <t>P655P386</t>
  </si>
  <si>
    <t>Leropo</t>
  </si>
  <si>
    <t>H227H717</t>
  </si>
  <si>
    <t>Topinevelu</t>
  </si>
  <si>
    <t>P356H883</t>
  </si>
  <si>
    <t>Rimadupive</t>
  </si>
  <si>
    <t>P555P438</t>
  </si>
  <si>
    <t>Lopevodava</t>
  </si>
  <si>
    <t>H359H732</t>
  </si>
  <si>
    <t>Vupupi</t>
  </si>
  <si>
    <t>H323P486</t>
  </si>
  <si>
    <t>Pofagega</t>
  </si>
  <si>
    <t>P987H535</t>
  </si>
  <si>
    <t>Fofarope</t>
  </si>
  <si>
    <t>H996P892</t>
  </si>
  <si>
    <t>Ropugugafo</t>
  </si>
  <si>
    <t>H471H644</t>
  </si>
  <si>
    <t>Cidatolupi</t>
  </si>
  <si>
    <t>P561H622</t>
  </si>
  <si>
    <t>Gotipomute</t>
  </si>
  <si>
    <t>P692P356</t>
  </si>
  <si>
    <t>Puturilaci</t>
  </si>
  <si>
    <t>H648P638</t>
  </si>
  <si>
    <t>Nadeguteca</t>
  </si>
  <si>
    <t>H469H479</t>
  </si>
  <si>
    <t>Moralupate</t>
  </si>
  <si>
    <t>H571H567</t>
  </si>
  <si>
    <t>Tupero</t>
  </si>
  <si>
    <t>P532H684</t>
  </si>
  <si>
    <t>Modapapole</t>
  </si>
  <si>
    <t>H449P211</t>
  </si>
  <si>
    <t>Tulecapu</t>
  </si>
  <si>
    <t>H986H959</t>
  </si>
  <si>
    <t>Nanomanu</t>
  </si>
  <si>
    <t>H153H187</t>
  </si>
  <si>
    <t>Mutivucira</t>
  </si>
  <si>
    <t>H922P168</t>
  </si>
  <si>
    <t>Ramifavedu</t>
  </si>
  <si>
    <t>P456H529</t>
  </si>
  <si>
    <t>Nuruma</t>
  </si>
  <si>
    <t>H713P189</t>
  </si>
  <si>
    <t>Focidilamo</t>
  </si>
  <si>
    <t>P757H786</t>
  </si>
  <si>
    <t>Tanulu</t>
  </si>
  <si>
    <t>H486P684</t>
  </si>
  <si>
    <t>Fotacemovo</t>
  </si>
  <si>
    <t>P899P662</t>
  </si>
  <si>
    <t>Renefe</t>
  </si>
  <si>
    <t>H171H538</t>
  </si>
  <si>
    <t>Dadepumolu</t>
  </si>
  <si>
    <t>H336H358</t>
  </si>
  <si>
    <t>Porofe</t>
  </si>
  <si>
    <t>H282H737</t>
  </si>
  <si>
    <t>Ripipavi</t>
  </si>
  <si>
    <t>H822P982</t>
  </si>
  <si>
    <t>Nagatute</t>
  </si>
  <si>
    <t>P297H296</t>
  </si>
  <si>
    <t>Pufepula</t>
  </si>
  <si>
    <t>P233H844</t>
  </si>
  <si>
    <t>Doluperipu</t>
  </si>
  <si>
    <t>P475H868</t>
  </si>
  <si>
    <t>Tapiniro</t>
  </si>
  <si>
    <t>P674P773</t>
  </si>
  <si>
    <t>Vonepa</t>
  </si>
  <si>
    <t>P341H534</t>
  </si>
  <si>
    <t>Tanipo</t>
  </si>
  <si>
    <t>P619H657</t>
  </si>
  <si>
    <t>Tunonurepo</t>
  </si>
  <si>
    <t>P987H629</t>
  </si>
  <si>
    <t>Fepapiteci</t>
  </si>
  <si>
    <t>P439H526</t>
  </si>
  <si>
    <t>Galunapu</t>
  </si>
  <si>
    <t>H355H819</t>
  </si>
  <si>
    <t>Fulolu</t>
  </si>
  <si>
    <t>P773H244</t>
  </si>
  <si>
    <t>Novopolula</t>
  </si>
  <si>
    <t>P227H224</t>
  </si>
  <si>
    <t>Turalomepu</t>
  </si>
  <si>
    <t>H976H576</t>
  </si>
  <si>
    <t>Marupi</t>
  </si>
  <si>
    <t>P854P645</t>
  </si>
  <si>
    <t>Raruco</t>
  </si>
  <si>
    <t>P323H956</t>
  </si>
  <si>
    <t>Cipomo</t>
  </si>
  <si>
    <t>H224P229</t>
  </si>
  <si>
    <t>Linepopare</t>
  </si>
  <si>
    <t>H726H337</t>
  </si>
  <si>
    <t>Luronufo</t>
  </si>
  <si>
    <t>H646H144</t>
  </si>
  <si>
    <t>Culipelepu</t>
  </si>
  <si>
    <t>H547P173</t>
  </si>
  <si>
    <t>Capugote</t>
  </si>
  <si>
    <t>H367P627</t>
  </si>
  <si>
    <t>Porevegota</t>
  </si>
  <si>
    <t>H329P817</t>
  </si>
  <si>
    <t>Palone</t>
  </si>
  <si>
    <t>H466P736</t>
  </si>
  <si>
    <t>Volitudope</t>
  </si>
  <si>
    <t>H435P645</t>
  </si>
  <si>
    <t>Pipefofala</t>
  </si>
  <si>
    <t>P863H331</t>
  </si>
  <si>
    <t>Tapecotani</t>
  </si>
  <si>
    <t>H627P753</t>
  </si>
  <si>
    <t>Govodata</t>
  </si>
  <si>
    <t>H183H659</t>
  </si>
  <si>
    <t>Tatocoti</t>
  </si>
  <si>
    <t>H541P762</t>
  </si>
  <si>
    <t>Manonerepo</t>
  </si>
  <si>
    <t>H363H285</t>
  </si>
  <si>
    <t>Pirove</t>
  </si>
  <si>
    <t>H323P851</t>
  </si>
  <si>
    <t>Vopiponepa</t>
  </si>
  <si>
    <t>H236P567</t>
  </si>
  <si>
    <t>Riludava</t>
  </si>
  <si>
    <t>H187P622</t>
  </si>
  <si>
    <t>Nodopela</t>
  </si>
  <si>
    <t>H842H685</t>
  </si>
  <si>
    <t>Ruvipi</t>
  </si>
  <si>
    <t>H864H998</t>
  </si>
  <si>
    <t>Pilepuro</t>
  </si>
  <si>
    <t>H233H781</t>
  </si>
  <si>
    <t>Molopimu</t>
  </si>
  <si>
    <t>H327P753</t>
  </si>
  <si>
    <t>Momitige</t>
  </si>
  <si>
    <t>H251P447</t>
  </si>
  <si>
    <t>Pecicolovi</t>
  </si>
  <si>
    <t>P181P198</t>
  </si>
  <si>
    <t>Veralu</t>
  </si>
  <si>
    <t>P149P833</t>
  </si>
  <si>
    <t>Tafata</t>
  </si>
  <si>
    <t>P355P544</t>
  </si>
  <si>
    <t>Fopure</t>
  </si>
  <si>
    <t>P598H665</t>
  </si>
  <si>
    <t>Paniduti</t>
  </si>
  <si>
    <t>H797P813</t>
  </si>
  <si>
    <t>Tepeta</t>
  </si>
  <si>
    <t>H638P635</t>
  </si>
  <si>
    <t>Nerupapa</t>
  </si>
  <si>
    <t>H533P471</t>
  </si>
  <si>
    <t>Gigoro</t>
  </si>
  <si>
    <t>H722P421</t>
  </si>
  <si>
    <t>Toticu</t>
  </si>
  <si>
    <t>P929P696</t>
  </si>
  <si>
    <t>Vifaduvire</t>
  </si>
  <si>
    <t>P459P327</t>
  </si>
  <si>
    <t>Lafilotu</t>
  </si>
  <si>
    <t>H731P786</t>
  </si>
  <si>
    <t>Ferope</t>
  </si>
  <si>
    <t>H399P696</t>
  </si>
  <si>
    <t>Meludetati</t>
  </si>
  <si>
    <t>P645P764</t>
  </si>
  <si>
    <t>Goganaca</t>
  </si>
  <si>
    <t>P731P581</t>
  </si>
  <si>
    <t>Palucipu</t>
  </si>
  <si>
    <t>P762P889</t>
  </si>
  <si>
    <t>Gepite</t>
  </si>
  <si>
    <t>H532P648</t>
  </si>
  <si>
    <t>Tadopa</t>
  </si>
  <si>
    <t>H324P816</t>
  </si>
  <si>
    <t>Pudapigo</t>
  </si>
  <si>
    <t>P368H496</t>
  </si>
  <si>
    <t>Piranupu</t>
  </si>
  <si>
    <t>P981H185</t>
  </si>
  <si>
    <t>Datoti</t>
  </si>
  <si>
    <t>H737P394</t>
  </si>
  <si>
    <t>Papale</t>
  </si>
  <si>
    <t>P295P623</t>
  </si>
  <si>
    <t>Tirenedu</t>
  </si>
  <si>
    <t>H623H253</t>
  </si>
  <si>
    <t>Rugidu</t>
  </si>
  <si>
    <t>H753H124</t>
  </si>
  <si>
    <t>Lavute</t>
  </si>
  <si>
    <t>H261P285</t>
  </si>
  <si>
    <t>Tirapo</t>
  </si>
  <si>
    <t>H397H882</t>
  </si>
  <si>
    <t>Mafopolure</t>
  </si>
  <si>
    <t>H535H586</t>
  </si>
  <si>
    <t>Geleciri</t>
  </si>
  <si>
    <t>H161H485</t>
  </si>
  <si>
    <t>Rinipo</t>
  </si>
  <si>
    <t>H261P693</t>
  </si>
  <si>
    <t>Tatigu</t>
  </si>
  <si>
    <t>H833H489</t>
  </si>
  <si>
    <t>Topatopu</t>
  </si>
  <si>
    <t>H716P672</t>
  </si>
  <si>
    <t>Muludo</t>
  </si>
  <si>
    <t>P556H428</t>
  </si>
  <si>
    <t>Ceduvetima</t>
  </si>
  <si>
    <t>P229P732</t>
  </si>
  <si>
    <t>Paruceme</t>
  </si>
  <si>
    <t>P384P944</t>
  </si>
  <si>
    <t>Tipafa</t>
  </si>
  <si>
    <t>Veluporeci</t>
  </si>
  <si>
    <t>P917P849</t>
  </si>
  <si>
    <t>Lopuretite</t>
  </si>
  <si>
    <t>H471P737</t>
  </si>
  <si>
    <t>Chave</t>
  </si>
  <si>
    <t>Raliru-H515P175/ES</t>
  </si>
  <si>
    <t>Ratena-H917H959/SP</t>
  </si>
  <si>
    <t>Namirolacu-P445P823/ES</t>
  </si>
  <si>
    <t>Nolifepa-H735H276/SP</t>
  </si>
  <si>
    <t>Pacofapipe-H574P162/ES</t>
  </si>
  <si>
    <t>Rapopa-H538H378/MG</t>
  </si>
  <si>
    <t>Godopadu-P116P159/SP</t>
  </si>
  <si>
    <t>Firamu-P589P568/ES</t>
  </si>
  <si>
    <t>Roduma-P363P987/GO</t>
  </si>
  <si>
    <t>Turucego-H647P923/GO</t>
  </si>
  <si>
    <t>Tugafacumi-P915P867/RJ</t>
  </si>
  <si>
    <t>Pudepa-H586H551/AL</t>
  </si>
  <si>
    <t>Motufidatu-P318P546/MA</t>
  </si>
  <si>
    <t>Cepeti-P937P636/GO</t>
  </si>
  <si>
    <t>Cirefapu-H824P368/SP</t>
  </si>
  <si>
    <t>Netugo-H149P458/ES</t>
  </si>
  <si>
    <t>Pofodoge-H985H461/RJ</t>
  </si>
  <si>
    <t>Cidatolupi-P561H622/ES</t>
  </si>
  <si>
    <t>Limalegado-H635H414/AL</t>
  </si>
  <si>
    <t>Tepogigiro-H877P957/MG</t>
  </si>
  <si>
    <t>Natavi-P767H833/SP</t>
  </si>
  <si>
    <t>Vapotudi-P716H775/AL</t>
  </si>
  <si>
    <t>Pevupetiti-H124P283/MA</t>
  </si>
  <si>
    <t>Mafune-P472P981/GO</t>
  </si>
  <si>
    <t>Pavaputi-P441H685/MA</t>
  </si>
  <si>
    <t>Varive-H867P288/AL</t>
  </si>
  <si>
    <t>Momupa-P892H748/ES</t>
  </si>
  <si>
    <t>Retorago-H872P394/GO</t>
  </si>
  <si>
    <t>Vicofegu-H186H326/GO</t>
  </si>
  <si>
    <t>Teterifipa-P876H266/SP</t>
  </si>
  <si>
    <t>Tupagada-P422H219/SP</t>
  </si>
  <si>
    <t>Paleropu-H611P813/GO</t>
  </si>
  <si>
    <t>Porepore-P873P382/SP</t>
  </si>
  <si>
    <t>Macirori-H925H857/RJ</t>
  </si>
  <si>
    <t>Tacicopo-P561P729/SP</t>
  </si>
  <si>
    <t>Pavifepo-H499P514/MA</t>
  </si>
  <si>
    <t>Feleforu-H749P458/GO</t>
  </si>
  <si>
    <t>Gurolicale-H985H459/MG</t>
  </si>
  <si>
    <t>Puvoca-P379H325/GO</t>
  </si>
  <si>
    <t>Finipovave-P155P531/SP</t>
  </si>
  <si>
    <t>Repula-P995H649/RJ</t>
  </si>
  <si>
    <t>Midute-P116H447/RJ</t>
  </si>
  <si>
    <t>Papunona-P517H647/RJ</t>
  </si>
  <si>
    <t>Tucutapofi-P848P999/GO</t>
  </si>
  <si>
    <t>Pipapi-H698H234/MA</t>
  </si>
  <si>
    <t>Fiticivi-P431P682/MG</t>
  </si>
  <si>
    <t>Rerepopepi-H693H715/SP</t>
  </si>
  <si>
    <t>Ditepefotu-P476H857/ES</t>
  </si>
  <si>
    <t>Goputati-H421H937/AL</t>
  </si>
  <si>
    <t>Teputada-H119H147/SP</t>
  </si>
  <si>
    <t>Tapodi-P288H255/ES</t>
  </si>
  <si>
    <t>Tulifa-P381P119/MA</t>
  </si>
  <si>
    <t>Gucatuco-H743H119/ES</t>
  </si>
  <si>
    <t>Tefipulo-H662H252/MG</t>
  </si>
  <si>
    <t>Munacara-P588H562/GO</t>
  </si>
  <si>
    <t>Pepali-H895P569/SP</t>
  </si>
  <si>
    <t>Lupipo-P969P642/GO</t>
  </si>
  <si>
    <t>Pipete-P675P876/SP</t>
  </si>
  <si>
    <t>Pitetu-P321H318/GO</t>
  </si>
  <si>
    <t>Rerifora-P229H271/SP</t>
  </si>
  <si>
    <t>Tatetociru-P932H347/SP</t>
  </si>
  <si>
    <t>Papino-H469H593/GO</t>
  </si>
  <si>
    <t>Dimuca-P327P874/GO</t>
  </si>
  <si>
    <t>Vicitipova-P961H311/MA</t>
  </si>
  <si>
    <t>Leretonega-H829H182/SP</t>
  </si>
  <si>
    <t>Guranavite-P837P592/GO</t>
  </si>
  <si>
    <t>Paredeca-H278P876/SP</t>
  </si>
  <si>
    <t>Monigu-H415P484/MA</t>
  </si>
  <si>
    <t>Lutofe-H792P299/ES</t>
  </si>
  <si>
    <t>Duvidu-P475H211/SP</t>
  </si>
  <si>
    <t>Gemigi-H546P862/MG</t>
  </si>
  <si>
    <t>Rurevi-P342P753/RJ</t>
  </si>
  <si>
    <t>Pupepi-P359H297/MA</t>
  </si>
  <si>
    <t>Vomipico-H136P925/AL</t>
  </si>
  <si>
    <t>Rirapomapi-P265P269/MG</t>
  </si>
  <si>
    <t>Pupuraro-P957P727/AL</t>
  </si>
  <si>
    <t>Pageco-P442H931/GO</t>
  </si>
  <si>
    <t>Terutava-H343P729/GO</t>
  </si>
  <si>
    <t>Caperede-H844P822/MG</t>
  </si>
  <si>
    <t>Popamevoro-H481H562/ES</t>
  </si>
  <si>
    <t>Pefori-P532P186/AL</t>
  </si>
  <si>
    <t>Turuturo-P117H247/MA</t>
  </si>
  <si>
    <t>Potepara-H169P189/GO</t>
  </si>
  <si>
    <t>Pudapipipa-H273P274/MA</t>
  </si>
  <si>
    <t>Ruteda-H782P596/AL</t>
  </si>
  <si>
    <t>Gagetatope-H117H711/RJ</t>
  </si>
  <si>
    <t>Gilalere-P854H115/GO</t>
  </si>
  <si>
    <t>Teramopeli-H734H176/MG</t>
  </si>
  <si>
    <t>Guvapepu-H637P327/SP</t>
  </si>
  <si>
    <t>Revonepu-P398P181/SP</t>
  </si>
  <si>
    <t>Vodapomipo-P245H224/MG</t>
  </si>
  <si>
    <t>Depanufore-P752P815/GO</t>
  </si>
  <si>
    <t>Rocipovipa-P321P834/AL</t>
  </si>
  <si>
    <t>Tefatemovu-P258P219/ES</t>
  </si>
  <si>
    <t>Ratipa-P983H239/ES</t>
  </si>
  <si>
    <t>Gagirudapa-P599H614/SP</t>
  </si>
  <si>
    <t>Vivecurelu-P628H144/SP</t>
  </si>
  <si>
    <t>Mapoditivi-H761P235/MG</t>
  </si>
  <si>
    <t>Loritita-P649H182/ES</t>
  </si>
  <si>
    <t>Cipevo-H585P127/MA</t>
  </si>
  <si>
    <t>Pamatonepe-H527P215/MG</t>
  </si>
  <si>
    <t>Gopemavige-P899P748/GO</t>
  </si>
  <si>
    <t>Tugocepogi-P474P647/ES</t>
  </si>
  <si>
    <t>Riraca-H757H494/RJ</t>
  </si>
  <si>
    <t>Pagoputere-H736H814/MA</t>
  </si>
  <si>
    <t>Pecodepo-H696P645/RJ</t>
  </si>
  <si>
    <t>Mopenofu-P899P834/MG</t>
  </si>
  <si>
    <t>Timeta-H898H494/ES</t>
  </si>
  <si>
    <t>Licalumoge-H254H993/MA</t>
  </si>
  <si>
    <t>Duroro-H446H624/SP</t>
  </si>
  <si>
    <t>Tupivu-H764P358/SP</t>
  </si>
  <si>
    <t>Datopepe-P739H348/ES</t>
  </si>
  <si>
    <t>Facevacica-H874H378/GO</t>
  </si>
  <si>
    <t>Luluca-P823H942/ES</t>
  </si>
  <si>
    <t>Rarigu-P196H979/MA</t>
  </si>
  <si>
    <t>Rotepipu-H415P552/ES</t>
  </si>
  <si>
    <t>Micopi-H318P571/GO</t>
  </si>
  <si>
    <t>Funateripe-P225P326/AL</t>
  </si>
  <si>
    <t>Faragute-P515H252/ES</t>
  </si>
  <si>
    <t>Rudati-P441P261/ES</t>
  </si>
  <si>
    <t>Nunitipite-H169H251/SP</t>
  </si>
  <si>
    <t>Dameca-H238H984/AL</t>
  </si>
  <si>
    <t>Tivatepida-H915H326/ES</t>
  </si>
  <si>
    <t>Vipecotedo-H171P732/GO</t>
  </si>
  <si>
    <t>Domurupeno-P252H874/SP</t>
  </si>
  <si>
    <t>Rururuci-P522P188/SP</t>
  </si>
  <si>
    <t>Dureci-P489P926/MA</t>
  </si>
  <si>
    <t>Garotepopu-P365P885/GO</t>
  </si>
  <si>
    <t>Palulato-P751P577/MA</t>
  </si>
  <si>
    <t>Taviri-P299P916/GO</t>
  </si>
  <si>
    <t>Detape-H322P569/MG</t>
  </si>
  <si>
    <t>Rudocepa-P376H139/MA</t>
  </si>
  <si>
    <t>Raleru-H876H716/SP</t>
  </si>
  <si>
    <t>Lerepe-P226H775/MA</t>
  </si>
  <si>
    <t>Papumuta-H939P638/MG</t>
  </si>
  <si>
    <t>Cetito-P254P772/GO</t>
  </si>
  <si>
    <t>Putopuco-H125H165/MA</t>
  </si>
  <si>
    <t>Nelito-P944H411/RJ</t>
  </si>
  <si>
    <t>Timapi-H527H511/ES</t>
  </si>
  <si>
    <t>Perava-H576H269/AL</t>
  </si>
  <si>
    <t>Vatavipi-H546H815/GO</t>
  </si>
  <si>
    <t>Dalere-P453H434/SP</t>
  </si>
  <si>
    <t>Pitiloga-H591H641/RJ</t>
  </si>
  <si>
    <t>Ranenaceri-P161P248/RJ</t>
  </si>
  <si>
    <t>Movopa-P941P945/RJ</t>
  </si>
  <si>
    <t>Rifaronude-P163P684/AL</t>
  </si>
  <si>
    <t>Numenonori-P886P756/RJ</t>
  </si>
  <si>
    <t>Tamuli-P391P747/GO</t>
  </si>
  <si>
    <t>Penutamepu-H568H488/ES</t>
  </si>
  <si>
    <t>Pirove-H323P851/ES</t>
  </si>
  <si>
    <t>Medupife-P945H472/RJ</t>
  </si>
  <si>
    <t>Ruponi-H915P599/SP</t>
  </si>
  <si>
    <t>Dinice-P333P955/SP</t>
  </si>
  <si>
    <t>Titopapupa-P266P292/MA</t>
  </si>
  <si>
    <t>Terunoru-H662H736/MA</t>
  </si>
  <si>
    <t>Corire-P769H671/RJ</t>
  </si>
  <si>
    <t>Venetefe-P369H315/MA</t>
  </si>
  <si>
    <t>Puvipadici-P133P673/MA</t>
  </si>
  <si>
    <t>Pegafinoto-H924P398/ES</t>
  </si>
  <si>
    <t>Povipi-H915P173/MA</t>
  </si>
  <si>
    <t>Tonuparo-H422H359/MA</t>
  </si>
  <si>
    <t>Fenulemoro-H264H542/AL</t>
  </si>
  <si>
    <t>Lucaturene-H243H839/AL</t>
  </si>
  <si>
    <t>Malirece-P929P992/SP</t>
  </si>
  <si>
    <t>Curivi-H488H179/AL</t>
  </si>
  <si>
    <t>Topefite-H885H379/GO</t>
  </si>
  <si>
    <t>Pupanate-P889P116/MG</t>
  </si>
  <si>
    <t>Lipiripo-P314P454/SP</t>
  </si>
  <si>
    <t>Fotacemovo-P899P662/MG</t>
  </si>
  <si>
    <t>Patuputupe-P521P968/SP</t>
  </si>
  <si>
    <t>Tulovo-H473P477/GO</t>
  </si>
  <si>
    <t>Poratu-P162H773/GO</t>
  </si>
  <si>
    <t>Cutirapo-H451P368/MA</t>
  </si>
  <si>
    <t>Rifipileve-P654P282/RJ</t>
  </si>
  <si>
    <t>Fipipi-P513P826/RJ</t>
  </si>
  <si>
    <t>Ritine-H675H774/SP</t>
  </si>
  <si>
    <t>Recovarafa-P726P395/GO</t>
  </si>
  <si>
    <t>Noticota-P832H533/GO</t>
  </si>
  <si>
    <t>Ralopu-H552P898/RJ</t>
  </si>
  <si>
    <t>Valapi-P483H688/RJ</t>
  </si>
  <si>
    <t>Rogadufe-P159H646/ES</t>
  </si>
  <si>
    <t>Vetogice-H856H224/AL</t>
  </si>
  <si>
    <t>Gotadopi-P145H177/SP</t>
  </si>
  <si>
    <t>Ripudeno-P349H977/AL</t>
  </si>
  <si>
    <t>Tacopeme-H562H946/AL</t>
  </si>
  <si>
    <t>Metavi-P599H516/MA</t>
  </si>
  <si>
    <t>Fuvepurodi-H756H441/RJ</t>
  </si>
  <si>
    <t>Regapeta-P662P263/AL</t>
  </si>
  <si>
    <t>Tarapugato-P726P826/GO</t>
  </si>
  <si>
    <t>Pecoti-P622P181/RJ</t>
  </si>
  <si>
    <t>Nuruma-H713P189/SP</t>
  </si>
  <si>
    <t>Fopulape-H171H337/AL</t>
  </si>
  <si>
    <t>Rafuripuvi-P977H735/MA</t>
  </si>
  <si>
    <t>Nepipe-P985H676/SP</t>
  </si>
  <si>
    <t>Furagi-H672P749/GO</t>
  </si>
  <si>
    <t>Rogunu-H312P848/SP</t>
  </si>
  <si>
    <t>Cepapefi-P273H296/AL</t>
  </si>
  <si>
    <t>Voponupi-H711P771/SP</t>
  </si>
  <si>
    <t>Gerinovo-P615H932/AL</t>
  </si>
  <si>
    <t>Citipu-P897H296/RJ</t>
  </si>
  <si>
    <t>Tupogudi-P381H662/RJ</t>
  </si>
  <si>
    <t>Pomefipeni-H269H715/ES</t>
  </si>
  <si>
    <t>Derunega-H758H992/RJ</t>
  </si>
  <si>
    <t>Roramapali-H522P534/SP</t>
  </si>
  <si>
    <t>Duvotupeve-H349H849/MA</t>
  </si>
  <si>
    <t>Pimipe-H383H413/ES</t>
  </si>
  <si>
    <t>Mugerogupo-H783P394/AL</t>
  </si>
  <si>
    <t>Nococucu-H498P685/MG</t>
  </si>
  <si>
    <t>Pulifeci-P466H834/MA</t>
  </si>
  <si>
    <t>Tetitafo-P448P743/SP</t>
  </si>
  <si>
    <t>Niduvife-P484P888/MG</t>
  </si>
  <si>
    <t>Notadi-P646P824/RJ</t>
  </si>
  <si>
    <t>Dotacofa-H151P793/MA</t>
  </si>
  <si>
    <t>Damopo-H475P216/AL</t>
  </si>
  <si>
    <t>Temopote-H398P613/GO</t>
  </si>
  <si>
    <t>Poralurale-H139P939/MA</t>
  </si>
  <si>
    <t>Pomeponivu-P534P493/RJ</t>
  </si>
  <si>
    <t>Livime-P734P755/AL</t>
  </si>
  <si>
    <t>Cepifinopa-H264P294/AL</t>
  </si>
  <si>
    <t>Veturapupa-P899H183/MG</t>
  </si>
  <si>
    <t>Ladecofo-P954P955/GO</t>
  </si>
  <si>
    <t>Pocurunoga-H325P897/SP</t>
  </si>
  <si>
    <t>Cuvuvepo-P116H588/MA</t>
  </si>
  <si>
    <t>Detinuci-H197H426/MA</t>
  </si>
  <si>
    <t>Muvevolago-P145P733/MG</t>
  </si>
  <si>
    <t>Mafamumuma-P299P929/MA</t>
  </si>
  <si>
    <t>Temito-H389H874/MA</t>
  </si>
  <si>
    <t>Dedudale-P872P536/MG</t>
  </si>
  <si>
    <t>Rutipi-H628H996/AL</t>
  </si>
  <si>
    <t>Ramiputofo-P469H967/MG</t>
  </si>
  <si>
    <t>Davenage-P239P683/ES</t>
  </si>
  <si>
    <t>Patofe-H433P427/RJ</t>
  </si>
  <si>
    <t>Lofevoma-H341P674/MG</t>
  </si>
  <si>
    <t>Gurimo-H796P427/SP</t>
  </si>
  <si>
    <t>Curalidemo-H272P812/MA</t>
  </si>
  <si>
    <t>Molenaropi-P727P688/AL</t>
  </si>
  <si>
    <t>Ritemulu-P933H914/SP</t>
  </si>
  <si>
    <t>Pamedorupu-H479H476/MG</t>
  </si>
  <si>
    <t>Naneto-H339P955/RJ</t>
  </si>
  <si>
    <t>Cavinevelo-P293P322/MG</t>
  </si>
  <si>
    <t>Rapati-P435H748/RJ</t>
  </si>
  <si>
    <t>Noverada-P866P423/ES</t>
  </si>
  <si>
    <t>Cegimi-H973P595/MA</t>
  </si>
  <si>
    <t>Pepevaco-P194H768/AL</t>
  </si>
  <si>
    <t>Purepepi-P573P269/GO</t>
  </si>
  <si>
    <t>Pacimumu-P573H645/MG</t>
  </si>
  <si>
    <t>Cumutu-H825H631/ES</t>
  </si>
  <si>
    <t>Fotapurifi-P499H157/ES</t>
  </si>
  <si>
    <t>Tapigete-P425H761/SP</t>
  </si>
  <si>
    <t>Vetivu-P771H625/AL</t>
  </si>
  <si>
    <t>Perurifa-P974H123/RJ</t>
  </si>
  <si>
    <t>Nilapu-P814P361/RJ</t>
  </si>
  <si>
    <t>Vepica-P158H358/SP</t>
  </si>
  <si>
    <t>Nimiridapi-H485H125/SP</t>
  </si>
  <si>
    <t>Ratogumi-H643H688/AL</t>
  </si>
  <si>
    <t>Perige-H596P325/GO</t>
  </si>
  <si>
    <t>Cinumu-H247H845/MA</t>
  </si>
  <si>
    <t>Cutevamopi-P298H893/MA</t>
  </si>
  <si>
    <t>Refadu-H331P566/RJ</t>
  </si>
  <si>
    <t>Mutiduroti-H367H854/MA</t>
  </si>
  <si>
    <t>Culipelepu-H547P173/AL</t>
  </si>
  <si>
    <t>Teduge-P638H218/AL</t>
  </si>
  <si>
    <t>Dutumero-P818H791/GO</t>
  </si>
  <si>
    <t>Dulucafa-H933P995/MA</t>
  </si>
  <si>
    <t>Pepeda-P722P389/GO</t>
  </si>
  <si>
    <t>Pataciro-H363H827/AL</t>
  </si>
  <si>
    <t>Picegadilu-H923H993/MG</t>
  </si>
  <si>
    <t>Ropugugafo-H471H644/GO</t>
  </si>
  <si>
    <t>Papidimipe-H242H241/RJ</t>
  </si>
  <si>
    <t>Purogulege-P149H668/GO</t>
  </si>
  <si>
    <t>Nutiropo-P178P124/MA</t>
  </si>
  <si>
    <t>Focari-P128H731/GO</t>
  </si>
  <si>
    <t>Tugunefi-P379H351/MA</t>
  </si>
  <si>
    <t>Linevego-P282H254/ES</t>
  </si>
  <si>
    <t>Lavute-H261P285/MG</t>
  </si>
  <si>
    <t>Diropova-P547P115/RJ</t>
  </si>
  <si>
    <t>Natonofuti-P154H797/MG</t>
  </si>
  <si>
    <t>Feremegapa-H493H199/ES</t>
  </si>
  <si>
    <t>Porevegota-H329P817/SP</t>
  </si>
  <si>
    <t>Vefada-H594P881/GO</t>
  </si>
  <si>
    <t>Puvuru-P266P559/MA</t>
  </si>
  <si>
    <t>Rafepago-H929H462/GO</t>
  </si>
  <si>
    <t>Gocupeva-H847H936/SP</t>
  </si>
  <si>
    <t>Ticamumo-H989P224/GO</t>
  </si>
  <si>
    <t>Medumipida-H468P426/GO</t>
  </si>
  <si>
    <t>Potuta-H137P515/ES</t>
  </si>
  <si>
    <t>Firore-H788H556/AL</t>
  </si>
  <si>
    <t>Peculoremi-H239H568/MA</t>
  </si>
  <si>
    <t>Durupepo-P648P391/SP</t>
  </si>
  <si>
    <t>Tunuca-P418P963/ES</t>
  </si>
  <si>
    <t>Vefeteto-H239H474/SP</t>
  </si>
  <si>
    <t>Fufaci-P513P598/RJ</t>
  </si>
  <si>
    <t>Tepitamuce-H363H622/MA</t>
  </si>
  <si>
    <t>Fonerito-H457P168/SP</t>
  </si>
  <si>
    <t>Cevorutupe-H581H944/SP</t>
  </si>
  <si>
    <t>Gadototi-H881H638/RJ</t>
  </si>
  <si>
    <t>Pireleca-P274P337/GO</t>
  </si>
  <si>
    <t>Tomigago-P216P457/AL</t>
  </si>
  <si>
    <t>Marevapu-H835P693/MG</t>
  </si>
  <si>
    <t>Pefemivuna-P451P548/ES</t>
  </si>
  <si>
    <t>Fufopero-P625P745/MA</t>
  </si>
  <si>
    <t>Mucavape-P878H691/GO</t>
  </si>
  <si>
    <t>Vigupirati-P691H987/AL</t>
  </si>
  <si>
    <t>Dipera-P662P319/SP</t>
  </si>
  <si>
    <t>Ledudecu-P513H761/ES</t>
  </si>
  <si>
    <t>Picitonoru-H598H841/MG</t>
  </si>
  <si>
    <t>Lifidonore-H366H412/MA</t>
  </si>
  <si>
    <t>Popigerili-H627P861/SP</t>
  </si>
  <si>
    <t>Puloliluti-P417H687/AL</t>
  </si>
  <si>
    <t>Curonepane-P959P139/RJ</t>
  </si>
  <si>
    <t>Pituviva-P981H977/GO</t>
  </si>
  <si>
    <t>Cotori-H536P195/RJ</t>
  </si>
  <si>
    <t>Gefero-H646P112/RJ</t>
  </si>
  <si>
    <t>Romuda-P677H271/SP</t>
  </si>
  <si>
    <t>Givicu-H461H642/MA</t>
  </si>
  <si>
    <t>Mepuramale-P294H125/MA</t>
  </si>
  <si>
    <t>Togafuteru-P962P521/RJ</t>
  </si>
  <si>
    <t>Virorurepu-H797H461/MA</t>
  </si>
  <si>
    <t>Ricepuge-P765P933/MG</t>
  </si>
  <si>
    <t>Tidatipu-P428P482/MA</t>
  </si>
  <si>
    <t>Ticotopomu-P792H935/MA</t>
  </si>
  <si>
    <t>Vilidu-H492P258/SP</t>
  </si>
  <si>
    <t>Tamiperi-P465H279/AL</t>
  </si>
  <si>
    <t>Tamotododo-P231H311/MG</t>
  </si>
  <si>
    <t>Rucerugora-H631H191/AL</t>
  </si>
  <si>
    <t>Potivupici-P192P296/GO</t>
  </si>
  <si>
    <t>Viripapefi-P419P448/MA</t>
  </si>
  <si>
    <t>Pofatuteru-H231H188/MA</t>
  </si>
  <si>
    <t>Rumetofo-H744P271/SP</t>
  </si>
  <si>
    <t>Ferope-H399P696/MA</t>
  </si>
  <si>
    <t>Gimuladu-P325P238/MA</t>
  </si>
  <si>
    <t>Cudapa-P833P457/GO</t>
  </si>
  <si>
    <t>Lafape-H683H778/MG</t>
  </si>
  <si>
    <t>Peferepifo-H188P149/MG</t>
  </si>
  <si>
    <t>Rapagi-P663H882/GO</t>
  </si>
  <si>
    <t>Fevupanu-P173H123/MG</t>
  </si>
  <si>
    <t>Matenecapi-H777H184/MA</t>
  </si>
  <si>
    <t>Giparuge-H863H983/AL</t>
  </si>
  <si>
    <t>Cadimute-H182H856/ES</t>
  </si>
  <si>
    <t>Mafopolure-H535H586/GO</t>
  </si>
  <si>
    <t>Fanapu-H563H462/SP</t>
  </si>
  <si>
    <t>Lulora-H585P621/AL</t>
  </si>
  <si>
    <t>Ravavepuva-H893P969/AL</t>
  </si>
  <si>
    <t>Farupopopu-P875H953/MA</t>
  </si>
  <si>
    <t>Dofici-H555H847/GO</t>
  </si>
  <si>
    <t>Tefoli-H363H877/GO</t>
  </si>
  <si>
    <t>Pipila-H968P861/ES</t>
  </si>
  <si>
    <t>Diteciname-H292H233/MA</t>
  </si>
  <si>
    <t>Lipulote-P772P158/MG</t>
  </si>
  <si>
    <t>Pupufu-H453P286/GO</t>
  </si>
  <si>
    <t>Vapice-P298H266/SP</t>
  </si>
  <si>
    <t>Nagatute-P297H296/GO</t>
  </si>
  <si>
    <t>Rifitu-H787P923/RJ</t>
  </si>
  <si>
    <t>Pepanigeta-P449H364/SP</t>
  </si>
  <si>
    <t>Retera-P998H818/GO</t>
  </si>
  <si>
    <t>Finoni-P486P496/MG</t>
  </si>
  <si>
    <t>Podatopiti-H222H171/AL</t>
  </si>
  <si>
    <t>Demicipo-H316P233/SP</t>
  </si>
  <si>
    <t>Timupuri-H874P747/GO</t>
  </si>
  <si>
    <t>Fudotemi-P753H951/RJ</t>
  </si>
  <si>
    <t>Gefodufo-H772H663/ES</t>
  </si>
  <si>
    <t>Pipetegevu-H475H588/RJ</t>
  </si>
  <si>
    <t>Tupugatipo-P587P952/MG</t>
  </si>
  <si>
    <t>Vegipo-P221H546/SP</t>
  </si>
  <si>
    <t>Carema-H566P581/AL</t>
  </si>
  <si>
    <t>Nurepi-H131H315/GO</t>
  </si>
  <si>
    <t>Mitivaro-P147P351/AL</t>
  </si>
  <si>
    <t>Curatiri-H311H344/MA</t>
  </si>
  <si>
    <t>Ridovita-P568P718/AL</t>
  </si>
  <si>
    <t>Nacovilu-H943P223/RJ</t>
  </si>
  <si>
    <t>Pulupedidi-P853H781/RJ</t>
  </si>
  <si>
    <t>Pedidi-P288P384/GO</t>
  </si>
  <si>
    <t>Gipidope-H641P882/ES</t>
  </si>
  <si>
    <t>Nepeciraca-P775P174/GO</t>
  </si>
  <si>
    <t>Netipano-H618H877/GO</t>
  </si>
  <si>
    <t>Rupili-P162H328/ES</t>
  </si>
  <si>
    <t>Rigupetede-H575P349/ES</t>
  </si>
  <si>
    <t>Foreri-P661P939/SP</t>
  </si>
  <si>
    <t>Nelacoge-P345P277/SP</t>
  </si>
  <si>
    <t>Defare-H432H639/RJ</t>
  </si>
  <si>
    <t>Tepafodugo-H738H283/RJ</t>
  </si>
  <si>
    <t>Cafidupi-P266P976/MG</t>
  </si>
  <si>
    <t>Gamutapodi-P619P399/MG</t>
  </si>
  <si>
    <t>Geculirafe-H311H936/GO</t>
  </si>
  <si>
    <t>Mufupamepu-H943P584/ES</t>
  </si>
  <si>
    <t>Raremupa-H742P375/MG</t>
  </si>
  <si>
    <t>Ridamevu-P185P288/MA</t>
  </si>
  <si>
    <t>Finade-H157H911/AL</t>
  </si>
  <si>
    <t>Rogocogide-P416P445/MA</t>
  </si>
  <si>
    <t>Letenuge-P627H652/ES</t>
  </si>
  <si>
    <t>Fetigu-H876H212/MA</t>
  </si>
  <si>
    <t>Fenagucu-H226H819/SP</t>
  </si>
  <si>
    <t>Fimetureru-H425H844/GO</t>
  </si>
  <si>
    <t>Napava-H746P572/GO</t>
  </si>
  <si>
    <t>Puturilaci-H648P638/MG</t>
  </si>
  <si>
    <t>Canodinogo-H749P632/MA</t>
  </si>
  <si>
    <t>Cotetipi-H545P384/ES</t>
  </si>
  <si>
    <t>Popafu-P824H672/SP</t>
  </si>
  <si>
    <t>Rulacu-P575H379/MG</t>
  </si>
  <si>
    <t>Fevupenire-P252P825/MG</t>
  </si>
  <si>
    <t>Pidepudu-P849H847/AL</t>
  </si>
  <si>
    <t>Fatapa-H441H382/GO</t>
  </si>
  <si>
    <t>Pavumocige-P324P954/ES</t>
  </si>
  <si>
    <t>Mitotiga-P461H697/SP</t>
  </si>
  <si>
    <t>Dimulativi-P666P833/GO</t>
  </si>
  <si>
    <t>Pepefadoto-H646H874/GO</t>
  </si>
  <si>
    <t>Duladofu-P612H696/GO</t>
  </si>
  <si>
    <t>Vitadetu-H525P485/GO</t>
  </si>
  <si>
    <t>Forigumupa-H449H939/MG</t>
  </si>
  <si>
    <t>Papifefa-H993P171/RJ</t>
  </si>
  <si>
    <t>Pitofotopo-P564P342/ES</t>
  </si>
  <si>
    <t>Popara-H156P839/ES</t>
  </si>
  <si>
    <t>Tutofagecu-H974H952/MG</t>
  </si>
  <si>
    <t>Vorepemi-H735P625/SP</t>
  </si>
  <si>
    <t>Notolati-P227P448/GO</t>
  </si>
  <si>
    <t>Rumere-H951H169/AL</t>
  </si>
  <si>
    <t>Nivapi-H488H873/RJ</t>
  </si>
  <si>
    <t>Mupalini-P155H671/ES</t>
  </si>
  <si>
    <t>Tivepiroco-P135H369/SP</t>
  </si>
  <si>
    <t>Lamavoralo-H341H997/SP</t>
  </si>
  <si>
    <t>Lalodarole-P223P364/AL</t>
  </si>
  <si>
    <t>Gepite-H532P648/GO</t>
  </si>
  <si>
    <t>Titicume-H671P679/AL</t>
  </si>
  <si>
    <t>Tupamifeme-H786P866/SP</t>
  </si>
  <si>
    <t>Turalomepu-H976H576/AL</t>
  </si>
  <si>
    <t>Dilifofuvo-P356H585/GO</t>
  </si>
  <si>
    <t>Ronapunoco-P441H454/SP</t>
  </si>
  <si>
    <t>Dicerupi-P934P231/MG</t>
  </si>
  <si>
    <t>Lifirupuci-H314H331/MA</t>
  </si>
  <si>
    <t>Gutiritupi-H868H389/AL</t>
  </si>
  <si>
    <t>Negipuri-P346P532/MG</t>
  </si>
  <si>
    <t>Dopodo-P514P652/SP</t>
  </si>
  <si>
    <t>Danape-P459P515/GO</t>
  </si>
  <si>
    <t>Tarecorepe-P697P831/GO</t>
  </si>
  <si>
    <t>Rodupepu-H726H133/AL</t>
  </si>
  <si>
    <t>Nonidi-P254P755/RJ</t>
  </si>
  <si>
    <t>Peputevite-H269H179/MG</t>
  </si>
  <si>
    <t>Mutito-P622H447/AL</t>
  </si>
  <si>
    <t>Tutipapalu-P886P514/GO</t>
  </si>
  <si>
    <t>Revavefora-H141P235/MG</t>
  </si>
  <si>
    <t>Rotamorate-P893P315/MA</t>
  </si>
  <si>
    <t>Malora-P265H389/AL</t>
  </si>
  <si>
    <t>Lidinu-H515H819/MA</t>
  </si>
  <si>
    <t>Mamelovico-H667P383/MG</t>
  </si>
  <si>
    <t>Gefuru-P126P771/MG</t>
  </si>
  <si>
    <t>Mapepopetu-P541H695/SP</t>
  </si>
  <si>
    <t>Pupuvamupa-H577P219/GO</t>
  </si>
  <si>
    <t>Rerate-P393H175/ES</t>
  </si>
  <si>
    <t>Vanipe-P893P147/GO</t>
  </si>
  <si>
    <t>Padaripipa-H517P622/MG</t>
  </si>
  <si>
    <t>Petimepogi-P245H534/RJ</t>
  </si>
  <si>
    <t>Vavafito-P555P732/AL</t>
  </si>
  <si>
    <t>Ponotumu-H168P277/MG</t>
  </si>
  <si>
    <t>Colitidita-H861P168/MG</t>
  </si>
  <si>
    <t>Falivoco-P915P594/SP</t>
  </si>
  <si>
    <t>Tanivimino-H499H665/MG</t>
  </si>
  <si>
    <t>Pudodofapu-P426H755/AL</t>
  </si>
  <si>
    <t>Gatemopi-P787H141/RJ</t>
  </si>
  <si>
    <t>Napetovimu-P875H628/SP</t>
  </si>
  <si>
    <t>Gucelulu-P515P875/MG</t>
  </si>
  <si>
    <t>Caticu-H947H126/ES</t>
  </si>
  <si>
    <t>Gepeva-H892P295/MG</t>
  </si>
  <si>
    <t>Nuponanepi-P152P268/GO</t>
  </si>
  <si>
    <t>Rifeco-H192H556/GO</t>
  </si>
  <si>
    <t>Muluti-P231P869/GO</t>
  </si>
  <si>
    <t>Fapuretopu-P166H364/RJ</t>
  </si>
  <si>
    <t>Tepipunaro-H377H181/GO</t>
  </si>
  <si>
    <t>Rarocipu-P675P779/MA</t>
  </si>
  <si>
    <t>Popune-H394P168/GO</t>
  </si>
  <si>
    <t>Laravadiva-P839P132/MA</t>
  </si>
  <si>
    <t>Rugidu-H753H124/MG</t>
  </si>
  <si>
    <t>Totico-P793P842/ES</t>
  </si>
  <si>
    <t>Ropuritono-P526P262/GO</t>
  </si>
  <si>
    <t>Daripote-H838P976/RJ</t>
  </si>
  <si>
    <t>Ficemupiri-P753P983/GO</t>
  </si>
  <si>
    <t>Cetutu-P169H521/MA</t>
  </si>
  <si>
    <t>Tufora-P418H387/MA</t>
  </si>
  <si>
    <t>Roputo-H393H392/RJ</t>
  </si>
  <si>
    <t>Pegale-H287P893/MA</t>
  </si>
  <si>
    <t>Polotovi-H398H131/SP</t>
  </si>
  <si>
    <t>Pupifara-P397P876/GO</t>
  </si>
  <si>
    <t>Domefiti-H135H671/MA</t>
  </si>
  <si>
    <t>Topuri-H112P813/SP</t>
  </si>
  <si>
    <t>Panime-H682P683/MA</t>
  </si>
  <si>
    <t>Repomamepi-P814P554/AL</t>
  </si>
  <si>
    <t>Metavafigu-P986P343/MA</t>
  </si>
  <si>
    <t>Peropifane-H786P844/ES</t>
  </si>
  <si>
    <t>Roduta-H448P296/SP</t>
  </si>
  <si>
    <t>Gerecilati-H421H579/ES</t>
  </si>
  <si>
    <t>Perorigapi-P477H497/RJ</t>
  </si>
  <si>
    <t>Tagepufipo-H778P884/RJ</t>
  </si>
  <si>
    <t>Popigi-P724H215/GO</t>
  </si>
  <si>
    <t>Lotacunoti-P646H853/MG</t>
  </si>
  <si>
    <t>Depuracavu-H413H844/SP</t>
  </si>
  <si>
    <t>Piriti-H837H464/ES</t>
  </si>
  <si>
    <t>Pufupagu-P191H736/ES</t>
  </si>
  <si>
    <t>Domepava-P254P722/MA</t>
  </si>
  <si>
    <t>Pofivono-P278H669/SP</t>
  </si>
  <si>
    <t>Tevafu-H235H826/RJ</t>
  </si>
  <si>
    <t>Vifepugepo-P889P739/SP</t>
  </si>
  <si>
    <t>Fidigutici-P831P155/MA</t>
  </si>
  <si>
    <t>Titupe-H913H135/GO</t>
  </si>
  <si>
    <t>Dagavapo-P389P789/RJ</t>
  </si>
  <si>
    <t>Movufi-P765H125/MA</t>
  </si>
  <si>
    <t>Papumuvi-H454P574/MG</t>
  </si>
  <si>
    <t>Gefure-H645H617/GO</t>
  </si>
  <si>
    <t>Doderirani-P691P154/SP</t>
  </si>
  <si>
    <t>Dumeromo-P788H492/ES</t>
  </si>
  <si>
    <t>Rurofelupa-H445H467/AL</t>
  </si>
  <si>
    <t>Napurodi-P417H749/SP</t>
  </si>
  <si>
    <t>Tupero-P532H684/MA</t>
  </si>
  <si>
    <t>Ticupapi-H748H262/RJ</t>
  </si>
  <si>
    <t>Darireli-P681H121/MA</t>
  </si>
  <si>
    <t>Tumori-H868H721/MA</t>
  </si>
  <si>
    <t>Pefoduro-P711P332/RJ</t>
  </si>
  <si>
    <t>Papocite-H551H396/AL</t>
  </si>
  <si>
    <t>Moparico-P466P499/ES</t>
  </si>
  <si>
    <t>Nupuvadu-H489P939/GO</t>
  </si>
  <si>
    <t>Gulonete-P614H461/SP</t>
  </si>
  <si>
    <t>Rapucufi-H244P352/MG</t>
  </si>
  <si>
    <t>Ruletorupi-H931H964/MA</t>
  </si>
  <si>
    <t>Melimi-H668P122/RJ</t>
  </si>
  <si>
    <t>Lonipupiti-P411H237/SP</t>
  </si>
  <si>
    <t>Gelevepori-P337H954/ES</t>
  </si>
  <si>
    <t>Viloruga-H465P669/MA</t>
  </si>
  <si>
    <t>Diraceteri-H383P582/GO</t>
  </si>
  <si>
    <t>Pefurula-H868H613/RJ</t>
  </si>
  <si>
    <t>Fucadumoge-H527P884/AL</t>
  </si>
  <si>
    <t>Dupamilina-H438H219/RJ</t>
  </si>
  <si>
    <t>Rutopotu-H342P111/ES</t>
  </si>
  <si>
    <t>Malivipiro-P765P118/ES</t>
  </si>
  <si>
    <t>Ponevedo-P946P642/MA</t>
  </si>
  <si>
    <t>Lidaritipo-P642P429/AL</t>
  </si>
  <si>
    <t>Mipufupu-P928P178/RJ</t>
  </si>
  <si>
    <t>Tufarevi-P198P684/SP</t>
  </si>
  <si>
    <t>Pucemeri-P628P437/RJ</t>
  </si>
  <si>
    <t>Fetogimi-H457H558/AL</t>
  </si>
  <si>
    <t>Rupari-P691P787/SP</t>
  </si>
  <si>
    <t>Terucinide-P829H559/MA</t>
  </si>
  <si>
    <t>Ratogopa-H642P946/AL</t>
  </si>
  <si>
    <t>Ripopape-H731P678/MA</t>
  </si>
  <si>
    <t>Titodulato-H755H926/AL</t>
  </si>
  <si>
    <t>Govama-P234H888/GO</t>
  </si>
  <si>
    <t>Foricu-P522H927/GO</t>
  </si>
  <si>
    <t>Tapara-P749H273/MG</t>
  </si>
  <si>
    <t>Fumipoci-H967H299/MG</t>
  </si>
  <si>
    <t>Figerafavo-P254H386/AL</t>
  </si>
  <si>
    <t>Pamali-P899P924/MG</t>
  </si>
  <si>
    <t>Pogoluno-H871H542/SP</t>
  </si>
  <si>
    <t>Levipevepe-P715H811/SP</t>
  </si>
  <si>
    <t>Vivoli-P763H461/ES</t>
  </si>
  <si>
    <t>Mapano-H868H947/MG</t>
  </si>
  <si>
    <t>Feruto-P292H228/SP</t>
  </si>
  <si>
    <t>Rurine-P378H963/GO</t>
  </si>
  <si>
    <t>Devavegate-P332P478/MG</t>
  </si>
  <si>
    <t>Putetociru-P434H748/RJ</t>
  </si>
  <si>
    <t>Potice-H576H859/RJ</t>
  </si>
  <si>
    <t>Nefucerita-H411H658/GO</t>
  </si>
  <si>
    <t>Novidipe-P431P483/MA</t>
  </si>
  <si>
    <t>Tecani-H864H391/MA</t>
  </si>
  <si>
    <t>Tarapavo-H898H659/RJ</t>
  </si>
  <si>
    <t>Rutapodu-H866P379/SP</t>
  </si>
  <si>
    <t>Tepovuvifo-H673P524/SP</t>
  </si>
  <si>
    <t>Papava-P291P499/ES</t>
  </si>
  <si>
    <t>Gomuludo-H127P492/ES</t>
  </si>
  <si>
    <t>Pupopire-P711P642/ES</t>
  </si>
  <si>
    <t>Femute-H374P277/MG</t>
  </si>
  <si>
    <t>Lapoveco-H133H434/RJ</t>
  </si>
  <si>
    <t>Tolupi-P876P794/GO</t>
  </si>
  <si>
    <t>Linepopare-H726H337/MG</t>
  </si>
  <si>
    <t>Puravu-H353P489/SP</t>
  </si>
  <si>
    <t>Titopipu-H173H186/GO</t>
  </si>
  <si>
    <t>Guteda-P511P453/GO</t>
  </si>
  <si>
    <t>Tegalavore-P478H629/GO</t>
  </si>
  <si>
    <t>Purigevuco-P112H962/RJ</t>
  </si>
  <si>
    <t>Tanepa-P232P432/ES</t>
  </si>
  <si>
    <t>Rufivemo-P483P528/MG</t>
  </si>
  <si>
    <t>Pipuluto-H174P241/GO</t>
  </si>
  <si>
    <t>Vipipovora-P841H636/ES</t>
  </si>
  <si>
    <t>Turunevafu-H335H469/AL</t>
  </si>
  <si>
    <t>Tovotura-P433P786/AL</t>
  </si>
  <si>
    <t>Cefipe-H125H499/SP</t>
  </si>
  <si>
    <t>Tuleci-H361P761/MG</t>
  </si>
  <si>
    <t>Fapudulipi-H327H766/MA</t>
  </si>
  <si>
    <t>Pofagega-P987H535/MA</t>
  </si>
  <si>
    <t>Tomireno-P824P824/AL</t>
  </si>
  <si>
    <t>Tirunodofi-P468H836/AL</t>
  </si>
  <si>
    <t>Nuriro-P152H967/RJ</t>
  </si>
  <si>
    <t>Pucifavore-P199H735/AL</t>
  </si>
  <si>
    <t>Tanulu-H486P684/AL</t>
  </si>
  <si>
    <t>Pemumitora-P144H546/MG</t>
  </si>
  <si>
    <t>Pipale-P954P474/AL</t>
  </si>
  <si>
    <t>Renuvote-H378H755/MG</t>
  </si>
  <si>
    <t>Dafalu-P353P567/RJ</t>
  </si>
  <si>
    <t>Lopagiva-H143P571/ES</t>
  </si>
  <si>
    <t>Tidaco-H176P544/AL</t>
  </si>
  <si>
    <t>Defuro-H753H968/ES</t>
  </si>
  <si>
    <t>Piraralo-P632H596/ES</t>
  </si>
  <si>
    <t>Tomacuropo-P291H883/GO</t>
  </si>
  <si>
    <t>Gerepiripo-P521H651/MA</t>
  </si>
  <si>
    <t>Riraponi-H689H292/MG</t>
  </si>
  <si>
    <t>Turunapi-P994P292/ES</t>
  </si>
  <si>
    <t>Tetuto-P744P148/ES</t>
  </si>
  <si>
    <t>Pifotugu-H291P247/SP</t>
  </si>
  <si>
    <t>Picade-P143H116/SP</t>
  </si>
  <si>
    <t>Tuliruce-H969H315/MG</t>
  </si>
  <si>
    <t>Tavede-H846P751/GO</t>
  </si>
  <si>
    <t>Pipifelale-P794H483/ES</t>
  </si>
  <si>
    <t>Patemu-H486H394/MG</t>
  </si>
  <si>
    <t>Fifepatutu-P395P161/MA</t>
  </si>
  <si>
    <t>Cotiru-P879H432/GO</t>
  </si>
  <si>
    <t>Ciropororo-H468P587/RJ</t>
  </si>
  <si>
    <t>Tovotegega-P788H658/SP</t>
  </si>
  <si>
    <t>Depepe-H323H153/MA</t>
  </si>
  <si>
    <t>Puperafova-H765H348/MA</t>
  </si>
  <si>
    <t>Fopurama-H416H823/GO</t>
  </si>
  <si>
    <t>Reririve-P722H435/MG</t>
  </si>
  <si>
    <t>Vimegotadu-H873P119/MG</t>
  </si>
  <si>
    <t>Rucomepiru-P989P638/MA</t>
  </si>
  <si>
    <t>Norapunupu-H663P358/ES</t>
  </si>
  <si>
    <t>Relutepe-P667H449/ES</t>
  </si>
  <si>
    <t>Tudavepodi-P887H595/ES</t>
  </si>
  <si>
    <t>Pogupamopu-P546H313/MA</t>
  </si>
  <si>
    <t>Mevofo-H299P662/AL</t>
  </si>
  <si>
    <t>Gelere-P953H968/AL</t>
  </si>
  <si>
    <t>Tedireculu-H541H189/AL</t>
  </si>
  <si>
    <t>Raditino-P892H215/MG</t>
  </si>
  <si>
    <t>Pipigufipa-P595P183/GO</t>
  </si>
  <si>
    <t>Lipevuleca-H464H596/MA</t>
  </si>
  <si>
    <t>Pufipucute-H514P451/ES</t>
  </si>
  <si>
    <t>Padeparece-H545P464/SP</t>
  </si>
  <si>
    <t>Celutetilu-H114H214/ES</t>
  </si>
  <si>
    <t>Matigutuvi-H117P757/ES</t>
  </si>
  <si>
    <t>Donarunoce-P348P869/SP</t>
  </si>
  <si>
    <t>Lenepo-H162H773/SP</t>
  </si>
  <si>
    <t>Tidapu-P679H372/GO</t>
  </si>
  <si>
    <t>Polerudi-H834H721/MA</t>
  </si>
  <si>
    <t>Polatela-H533P986/AL</t>
  </si>
  <si>
    <t>Dodareforo-P955H274/AL</t>
  </si>
  <si>
    <t>Pemapa-P882P415/SP</t>
  </si>
  <si>
    <t>Fepuci-H456H797/AL</t>
  </si>
  <si>
    <t>Pevuto-H884H336/RJ</t>
  </si>
  <si>
    <t>Lafapilo-H187P531/RJ</t>
  </si>
  <si>
    <t>Modagipodo-P372H292/MG</t>
  </si>
  <si>
    <t>Luleru-H747H688/AL</t>
  </si>
  <si>
    <t>Muvutatima-P226H964/RJ</t>
  </si>
  <si>
    <t>Genupulu-H579H445/RJ</t>
  </si>
  <si>
    <t>Fetitidato-P623H358/MA</t>
  </si>
  <si>
    <t>Lupomupoti-H431H711/ES</t>
  </si>
  <si>
    <t>Gutucipo-H547P311/AL</t>
  </si>
  <si>
    <t>Geleciri-H161H485/MA</t>
  </si>
  <si>
    <t>Vucodoci-H268P986/SP</t>
  </si>
  <si>
    <t>Rotepupone-P989H426/RJ</t>
  </si>
  <si>
    <t>Pudeta-H783P497/ES</t>
  </si>
  <si>
    <t>Pifalumudi-P212P883/SP</t>
  </si>
  <si>
    <t>Paruceme-P384P944/AL</t>
  </si>
  <si>
    <t>Toficipe-P821P284/AL</t>
  </si>
  <si>
    <t>Tugotiti-H434H967/SP</t>
  </si>
  <si>
    <t>Femiceme-H686H486/MG</t>
  </si>
  <si>
    <t>Denipugo-P118P917/GO</t>
  </si>
  <si>
    <t>Gepocime-H917H853/SP</t>
  </si>
  <si>
    <t>Moturopipa-P838H297/MG</t>
  </si>
  <si>
    <t>Vupati-P457P333/GO</t>
  </si>
  <si>
    <t>Penotalano-P635P845/GO</t>
  </si>
  <si>
    <t>Varomite-H166H815/MA</t>
  </si>
  <si>
    <t>Rapepugavi-P826P673/SP</t>
  </si>
  <si>
    <t>Gapunapove-P172H584/SP</t>
  </si>
  <si>
    <t>Parotere-P112H345/AL</t>
  </si>
  <si>
    <t>Lutimana-P631P858/SP</t>
  </si>
  <si>
    <t>Mavatoru-H596H148/SP</t>
  </si>
  <si>
    <t>Doluperipu-P475H868/ES</t>
  </si>
  <si>
    <t>Ruderi-P815P956/RJ</t>
  </si>
  <si>
    <t>Fovefo-H813P239/RJ</t>
  </si>
  <si>
    <t>Curadopu-P691H136/ES</t>
  </si>
  <si>
    <t>Cinuripemo-H524P462/RJ</t>
  </si>
  <si>
    <t>Ponicegefo-P373H538/GO</t>
  </si>
  <si>
    <t>Dopudane-H285H182/GO</t>
  </si>
  <si>
    <t>Tafocecera-H128P441/ES</t>
  </si>
  <si>
    <t>Vepata-P126H231/RJ</t>
  </si>
  <si>
    <t>Tenogapigu-H117P727/RJ</t>
  </si>
  <si>
    <t>Vocoreceti-P961P459/ES</t>
  </si>
  <si>
    <t>Teperenepa-P764P375/MA</t>
  </si>
  <si>
    <t>Velididigu-H313H311/MA</t>
  </si>
  <si>
    <t>Femerere-H639P217/SP</t>
  </si>
  <si>
    <t>Rilotu-H933P398/RJ</t>
  </si>
  <si>
    <t>Ludomororo-P166P976/MA</t>
  </si>
  <si>
    <t>Vetipopipe-P938P382/GO</t>
  </si>
  <si>
    <t>Titucine-P537P838/GO</t>
  </si>
  <si>
    <t>Metigapa-H376H488/MA</t>
  </si>
  <si>
    <t>Porevudi-H353P715/SP</t>
  </si>
  <si>
    <t>Leletafu-P181H857/RJ</t>
  </si>
  <si>
    <t>Rerulilofe-H252H228/AL</t>
  </si>
  <si>
    <t>Povagora-H217P263/ES</t>
  </si>
  <si>
    <t>Panovova-H741P342/AL</t>
  </si>
  <si>
    <t>Volitudope-H435P645/SP</t>
  </si>
  <si>
    <t>Togorucu-H362P349/MA</t>
  </si>
  <si>
    <t>Nupagaruce-P676P512/MG</t>
  </si>
  <si>
    <t>Tatocoti-H541P762/AL</t>
  </si>
  <si>
    <t>Tetepeto-H867P873/MA</t>
  </si>
  <si>
    <t>Pirenadu-P151P862/SP</t>
  </si>
  <si>
    <t>Papemugogo-H929H696/AL</t>
  </si>
  <si>
    <t>Notavera-P888H938/AL</t>
  </si>
  <si>
    <t>Fuceni-P969P881/MA</t>
  </si>
  <si>
    <t>Pogecidelu-H298P438/AL</t>
  </si>
  <si>
    <t>Malutapore-P145P584/MA</t>
  </si>
  <si>
    <t>Navupegigi-H355H334/MG</t>
  </si>
  <si>
    <t>Pelepepi-H794H875/MG</t>
  </si>
  <si>
    <t>Topevoca-P157H413/RJ</t>
  </si>
  <si>
    <t>Povomopope-H177H985/AL</t>
  </si>
  <si>
    <t>Nipucavupa-H714H494/SP</t>
  </si>
  <si>
    <t>Niluloloti-P868H852/ES</t>
  </si>
  <si>
    <t>Nanepovipe-P425P353/GO</t>
  </si>
  <si>
    <t>Rupetu-P737H371/RJ</t>
  </si>
  <si>
    <t>Nerefapi-P938H322/MA</t>
  </si>
  <si>
    <t>Comenalu-P135P461/MA</t>
  </si>
  <si>
    <t>Cerace-P564P771/SP</t>
  </si>
  <si>
    <t>Pepacatiru-P765P425/GO</t>
  </si>
  <si>
    <t>Poreda-P246P821/MA</t>
  </si>
  <si>
    <t>Letuvima-P982H142/AL</t>
  </si>
  <si>
    <t>Detureropo-H836H952/RJ</t>
  </si>
  <si>
    <t>Femunini-H866P482/RJ</t>
  </si>
  <si>
    <t>Marate-H592P846/RJ</t>
  </si>
  <si>
    <t>Ponopatufo-P233H554/ES</t>
  </si>
  <si>
    <t>Gitupi-P738P133/MG</t>
  </si>
  <si>
    <t>Napido-P173H555/MA</t>
  </si>
  <si>
    <t>Rudiceci-H639H983/MA</t>
  </si>
  <si>
    <t>Varepego-H632P264/MA</t>
  </si>
  <si>
    <t>Macetivo-H186P148/MA</t>
  </si>
  <si>
    <t>Riputo-H643P489/SP</t>
  </si>
  <si>
    <t>Rorutofogu-P639P111/MG</t>
  </si>
  <si>
    <t>Mipulu-H699H318/AL</t>
  </si>
  <si>
    <t>Nipopefa-H643H716/ES</t>
  </si>
  <si>
    <t>Vagafe-H944H643/MG</t>
  </si>
  <si>
    <t>Mecade-P582P142/AL</t>
  </si>
  <si>
    <t>Peparu-P348H894/MA</t>
  </si>
  <si>
    <t>Nemimeta-P254P192/MA</t>
  </si>
  <si>
    <t>Marupi-P854P645/ES</t>
  </si>
  <si>
    <t>Vefotora-H129P544/RJ</t>
  </si>
  <si>
    <t>Gucuto-P867P994/GO</t>
  </si>
  <si>
    <t>Cetopi-P459H813/RJ</t>
  </si>
  <si>
    <t>Redevere-H162H387/GO</t>
  </si>
  <si>
    <t>Rafelo-P993P712/AL</t>
  </si>
  <si>
    <t>Cemavapa-P719H464/SP</t>
  </si>
  <si>
    <t>Picofofupe-H571H378/RJ</t>
  </si>
  <si>
    <t>Rarirepipo-P176P323/AL</t>
  </si>
  <si>
    <t>Tifotuvipo-H446P158/SP</t>
  </si>
  <si>
    <t>Pelecotopu-P381P959/ES</t>
  </si>
  <si>
    <t>Mocumi-P516P737/GO</t>
  </si>
  <si>
    <t>Codepedu-P461H735/AL</t>
  </si>
  <si>
    <t>Pufoca-P293H363/MA</t>
  </si>
  <si>
    <t>Cafepoca-H348H171/AL</t>
  </si>
  <si>
    <t>Tevulege-H433P386/RJ</t>
  </si>
  <si>
    <t>Rodotilu-P755P245/SP</t>
  </si>
  <si>
    <t>Fodelorolu-H854P534/ES</t>
  </si>
  <si>
    <t>Datotupume-P385P169/AL</t>
  </si>
  <si>
    <t>Marutu-P543H694/GO</t>
  </si>
  <si>
    <t>Vunutopu-P582H364/MG</t>
  </si>
  <si>
    <t>Fetone-P979H868/ES</t>
  </si>
  <si>
    <t>Renapanu-P774H536/MA</t>
  </si>
  <si>
    <t>Nutoluteca-H653H784/GO</t>
  </si>
  <si>
    <t>Tarape-H448H734/ES</t>
  </si>
  <si>
    <t>Funurape-P387H919/MG</t>
  </si>
  <si>
    <t>Poputo-P851H117/MA</t>
  </si>
  <si>
    <t>Motonodo-H644P868/GO</t>
  </si>
  <si>
    <t>Vipapo-H823P711/SP</t>
  </si>
  <si>
    <t>Vupupu-H894P548/RJ</t>
  </si>
  <si>
    <t>Faropo-P227H249/RJ</t>
  </si>
  <si>
    <t>Pinopucipo-H146H887/MG</t>
  </si>
  <si>
    <t>Pimerona-H373P693/GO</t>
  </si>
  <si>
    <t>Lotitovi-H855H386/MG</t>
  </si>
  <si>
    <t>Darucope-H786H415/MG</t>
  </si>
  <si>
    <t>Ginuvumofi-H912H128/MA</t>
  </si>
  <si>
    <t>Renefe-H171H538/SP</t>
  </si>
  <si>
    <t>Cefoticepo-P118H787/AL</t>
  </si>
  <si>
    <t>Tidavito-P714P568/MA</t>
  </si>
  <si>
    <t>Ratolege-H241H416/MA</t>
  </si>
  <si>
    <t>Piporepo-H994H287/MA</t>
  </si>
  <si>
    <t>Tugoli-P864H771/MG</t>
  </si>
  <si>
    <t>Rudavoda-H964P645/GO</t>
  </si>
  <si>
    <t>Pitonotopo-H421P334/MA</t>
  </si>
  <si>
    <t>Vecapiti-H264H866/SP</t>
  </si>
  <si>
    <t>Nimomopape-P489H694/MG</t>
  </si>
  <si>
    <t>Vupoge-H528P795/MA</t>
  </si>
  <si>
    <t>Vatoripe-P879H624/AL</t>
  </si>
  <si>
    <t>Lipatimu-H667H748/MA</t>
  </si>
  <si>
    <t>Fapivopata-H862P652/MA</t>
  </si>
  <si>
    <t>Vipata-H799P781/RJ</t>
  </si>
  <si>
    <t>Numiru-P997H849/MA</t>
  </si>
  <si>
    <t>Murotero-P953H836/GO</t>
  </si>
  <si>
    <t>Gomite-H986P761/AL</t>
  </si>
  <si>
    <t>Pipapata-P358H299/GO</t>
  </si>
  <si>
    <t>Vepedadere-P116P325/SP</t>
  </si>
  <si>
    <t>Farivafe-P473H497/MG</t>
  </si>
  <si>
    <t>Lutanimiro-H877P742/MG</t>
  </si>
  <si>
    <t>Fopemacapi-P751H241/MA</t>
  </si>
  <si>
    <t>Mifimupo-P892H365/MG</t>
  </si>
  <si>
    <t>Dupapi-H528P561/MG</t>
  </si>
  <si>
    <t>Padivige-H797P781/GO</t>
  </si>
  <si>
    <t>Vifefififi-P142H654/MG</t>
  </si>
  <si>
    <t>Fadetige-H543H718/SP</t>
  </si>
  <si>
    <t>Tanulo-P421H184/MG</t>
  </si>
  <si>
    <t>Milipefe-P826P297/ES</t>
  </si>
  <si>
    <t>Nutuvi-H441H196/GO</t>
  </si>
  <si>
    <t>Roniti-H652H422/AL</t>
  </si>
  <si>
    <t>Popafirure-P164H955/RJ</t>
  </si>
  <si>
    <t>Teracuruca-P249P441/GO</t>
  </si>
  <si>
    <t>Ridanefe-P827P769/MA</t>
  </si>
  <si>
    <t>Vutuca-H579H196/ES</t>
  </si>
  <si>
    <t>Rocurafatu-P633P762/GO</t>
  </si>
  <si>
    <t>Panapuce-H823H576/ES</t>
  </si>
  <si>
    <t>Fimavi-H782P529/GO</t>
  </si>
  <si>
    <t>Copocaco-P225H561/ES</t>
  </si>
  <si>
    <t>Gofucofopa-H389P295/SP</t>
  </si>
  <si>
    <t>Mavutofe-P467H525/ES</t>
  </si>
  <si>
    <t>Pepifepo-H178P482/MG</t>
  </si>
  <si>
    <t>Napipupi-P414H888/RJ</t>
  </si>
  <si>
    <t>Fidopelela-H427H226/MA</t>
  </si>
  <si>
    <t>Ritepacedo-H136P165/AL</t>
  </si>
  <si>
    <t>Fureta-P639H883/MG</t>
  </si>
  <si>
    <t>Litepi-H132P727/SP</t>
  </si>
  <si>
    <t>Lopuretite-H471P737/MG</t>
  </si>
  <si>
    <t>Pogala-P428H716/MA</t>
  </si>
  <si>
    <t>Ripitoci-H454P885/RJ</t>
  </si>
  <si>
    <t>Pecoru-H728P493/ES</t>
  </si>
  <si>
    <t>Papiteda-H133P637/MG</t>
  </si>
  <si>
    <t>Polemapa-H682P281/MA</t>
  </si>
  <si>
    <t>Luguto-P281H999/AL</t>
  </si>
  <si>
    <t>Fivepute-P937H648/SP</t>
  </si>
  <si>
    <t>Cuvapiti-P948H154/AL</t>
  </si>
  <si>
    <t>Tivete-P468P932/AL</t>
  </si>
  <si>
    <t>Tipopefeda-P283P388/MA</t>
  </si>
  <si>
    <t>Pemero-H973P866/ES</t>
  </si>
  <si>
    <t>Momofafe-P332H766/GO</t>
  </si>
  <si>
    <t>Ritolu-H664H592/MA</t>
  </si>
  <si>
    <t>Patide-P814P498/GO</t>
  </si>
  <si>
    <t>Pupotedu-P786H638/MA</t>
  </si>
  <si>
    <t>Timimepema-P917P876/ES</t>
  </si>
  <si>
    <t>Lomica-H136P848/GO</t>
  </si>
  <si>
    <t>Tumefupe-H675H531/MG</t>
  </si>
  <si>
    <t>Povipice-H581H729/MA</t>
  </si>
  <si>
    <t>Cedigapere-P765H214/RJ</t>
  </si>
  <si>
    <t>Vopucepamo-H726P273/ES</t>
  </si>
  <si>
    <t>Defuvego-H286H263/MG</t>
  </si>
  <si>
    <t>Fetotu-H696H648/MG</t>
  </si>
  <si>
    <t>Garefipofa-H331H451/SP</t>
  </si>
  <si>
    <t>Renapo-H527P195/SP</t>
  </si>
  <si>
    <t>Liredatu-P721H717/SP</t>
  </si>
  <si>
    <t>Cefamo-P294P578/MA</t>
  </si>
  <si>
    <t>Tomipupuvo-H848P245/SP</t>
  </si>
  <si>
    <t>Radopa-H595H199/AL</t>
  </si>
  <si>
    <t>Neludutamo-H239P471/AL</t>
  </si>
  <si>
    <t>Papaficuni-P124P521/RJ</t>
  </si>
  <si>
    <t>Natorofa-P499P841/MA</t>
  </si>
  <si>
    <t>Gaveperugo-H357H413/ES</t>
  </si>
  <si>
    <t>Talorure-H759H511/MG</t>
  </si>
  <si>
    <t>Nudica-P565H273/MG</t>
  </si>
  <si>
    <t>Purapo-P798H132/MA</t>
  </si>
  <si>
    <t>Lupopatupi-P494P969/ES</t>
  </si>
  <si>
    <t>Retomupeci-P282H253/ES</t>
  </si>
  <si>
    <t>Puritapo-P147H657/SP</t>
  </si>
  <si>
    <t>Ruvirupa-H455P461/GO</t>
  </si>
  <si>
    <t>Rogefi-H193P462/GO</t>
  </si>
  <si>
    <t>Metifagatu-H761H681/MA</t>
  </si>
  <si>
    <t>Mararacoma-P652P532/SP</t>
  </si>
  <si>
    <t>Mecitalu-P967P537/MA</t>
  </si>
  <si>
    <t>Patedata-P811P375/MG</t>
  </si>
  <si>
    <t>Fofarope-H996P892/ES</t>
  </si>
  <si>
    <t>Rinipo-H261P693/MA</t>
  </si>
  <si>
    <t>Ceceve-P934H358/RJ</t>
  </si>
  <si>
    <t>Getoma-P453P445/AL</t>
  </si>
  <si>
    <t>Nipopago-H826H986/AL</t>
  </si>
  <si>
    <t>Potufifapo-H468P119/MA</t>
  </si>
  <si>
    <t>Molopimu-H327P753/MA</t>
  </si>
  <si>
    <t>Camecigupe-H298H795/MG</t>
  </si>
  <si>
    <t>Pivurega-H845P547/MA</t>
  </si>
  <si>
    <t>Perarone-P646P241/AL</t>
  </si>
  <si>
    <t>Punuritari-P956H778/SP</t>
  </si>
  <si>
    <t>Mururedari-H946H875/GO</t>
  </si>
  <si>
    <t>Vevitera-H256H541/RJ</t>
  </si>
  <si>
    <t>Varipeme-H592H278/ES</t>
  </si>
  <si>
    <t>Nacilipari-H135P215/RJ</t>
  </si>
  <si>
    <t>Rivupovimu-P347H631/MA</t>
  </si>
  <si>
    <t>Radopupe-H873H429/SP</t>
  </si>
  <si>
    <t>Pudeto-H693P226/GO</t>
  </si>
  <si>
    <t>Rapicu-P268P438/ES</t>
  </si>
  <si>
    <t>Laguta-P486P153/ES</t>
  </si>
  <si>
    <t>Dupetite-P665P624/AL</t>
  </si>
  <si>
    <t>Papece-P545P331/MA</t>
  </si>
  <si>
    <t>Fapimi-H484H778/MG</t>
  </si>
  <si>
    <t>Dunodo-H297H265/GO</t>
  </si>
  <si>
    <t>Norega-H147P415/GO</t>
  </si>
  <si>
    <t>Nopevopu-H426H526/SP</t>
  </si>
  <si>
    <t>Dufimuvoti-H733H875/AL</t>
  </si>
  <si>
    <t>Pifutapu-P755H532/SP</t>
  </si>
  <si>
    <t>Lelirula-P799P735/SP</t>
  </si>
  <si>
    <t>Radupifu-H919P568/MG</t>
  </si>
  <si>
    <t>Pepegitoco-P528H755/AL</t>
  </si>
  <si>
    <t>Patoto-P851P885/RJ</t>
  </si>
  <si>
    <t>Tatugifo-H946P333/GO</t>
  </si>
  <si>
    <t>Popapogule-H411H255/AL</t>
  </si>
  <si>
    <t>Rupufu-P343H647/ES</t>
  </si>
  <si>
    <t>Perucife-P824P384/RJ</t>
  </si>
  <si>
    <t>Neteve-H433H869/GO</t>
  </si>
  <si>
    <t>Turifa-H792H249/ES</t>
  </si>
  <si>
    <t>Gutepupade-H478H469/GO</t>
  </si>
  <si>
    <t>Tiveconi-H979P518/MG</t>
  </si>
  <si>
    <t>Pucupa-H241H159/SP</t>
  </si>
  <si>
    <t>Vanulipufi-P822P332/RJ</t>
  </si>
  <si>
    <t>Rovufunemu-H627P172/MG</t>
  </si>
  <si>
    <t>Rogovito-P197H876/ES</t>
  </si>
  <si>
    <t>Tepure-P673P938/MA</t>
  </si>
  <si>
    <t>Mepivupipi-H188P659/RJ</t>
  </si>
  <si>
    <t>Turena-H653H429/GO</t>
  </si>
  <si>
    <t>Pimacecavu-P916H475/AL</t>
  </si>
  <si>
    <t>Cutura-H227P789/ES</t>
  </si>
  <si>
    <t>Pogamepepu-H274P191/RJ</t>
  </si>
  <si>
    <t>Nipelacodo-H264H325/AL</t>
  </si>
  <si>
    <t>Cotofitifi-P613H527/SP</t>
  </si>
  <si>
    <t>Penadature-P734P511/RJ</t>
  </si>
  <si>
    <t>Ruteme-P253P579/ES</t>
  </si>
  <si>
    <t>Focefi-P663P647/GO</t>
  </si>
  <si>
    <t>Fofovipapa-P339H465/RJ</t>
  </si>
  <si>
    <t>Cucipanapi-H378H136/MG</t>
  </si>
  <si>
    <t>Tofife-H835H175/MG</t>
  </si>
  <si>
    <t>Munuruleti-H416H396/MG</t>
  </si>
  <si>
    <t>Meterucuro-P441P742/MG</t>
  </si>
  <si>
    <t>Ricipo-P791P945/MA</t>
  </si>
  <si>
    <t>Vupodadu-H914P455/ES</t>
  </si>
  <si>
    <t>Lepemaruti-P989P492/ES</t>
  </si>
  <si>
    <t>Mugofu-P666H887/MG</t>
  </si>
  <si>
    <t>Litimupupe-H758P165/MA</t>
  </si>
  <si>
    <t>Guripevi-H689P329/AL</t>
  </si>
  <si>
    <t>Mumuvopu-P443P842/ES</t>
  </si>
  <si>
    <t>Fupocede-P532H189/AL</t>
  </si>
  <si>
    <t>Funafiteto-P196H441/AL</t>
  </si>
  <si>
    <t>Lefupeturo-H597P272/MG</t>
  </si>
  <si>
    <t>Papugufe-H137H986/MG</t>
  </si>
  <si>
    <t>Tuparugo-H789H764/GO</t>
  </si>
  <si>
    <t>Rugonopuno-H357H545/RJ</t>
  </si>
  <si>
    <t>Gavucilega-H255P354/GO</t>
  </si>
  <si>
    <t>Nudimufori-P484H561/MA</t>
  </si>
  <si>
    <t>Loranativi-H652H361/ES</t>
  </si>
  <si>
    <t>Rurunetu-H826H173/SP</t>
  </si>
  <si>
    <t>Luvanade-H644H547/AL</t>
  </si>
  <si>
    <t>Cedepenumo-P126P152/ES</t>
  </si>
  <si>
    <t>Galefitora-P343P411/RJ</t>
  </si>
  <si>
    <t>Fopanaricu-P321P787/MG</t>
  </si>
  <si>
    <t>Niperidono-H823P178/AL</t>
  </si>
  <si>
    <t>Mucagene-H466H792/ES</t>
  </si>
  <si>
    <t>Tagipatoma-H694H669/GO</t>
  </si>
  <si>
    <t>Patilodula-H758H761/ES</t>
  </si>
  <si>
    <t>Maluri-H354H132/GO</t>
  </si>
  <si>
    <t>Nocepe-P657H762/GO</t>
  </si>
  <si>
    <t>Pilocora-H717P656/MG</t>
  </si>
  <si>
    <t>Pilevutigo-H319P498/MG</t>
  </si>
  <si>
    <t>Temacavapu-P995H378/ES</t>
  </si>
  <si>
    <t>Mapinifi-H443P459/AL</t>
  </si>
  <si>
    <t>Lureme-H359P241/MG</t>
  </si>
  <si>
    <t>Fotemupa-H352P562/SP</t>
  </si>
  <si>
    <t>Vapedugime-H252P758/ES</t>
  </si>
  <si>
    <t>Mapare-H556P879/RJ</t>
  </si>
  <si>
    <t>Pagepopudo-P127H351/RJ</t>
  </si>
  <si>
    <t>Ropepicimo-P825P829/ES</t>
  </si>
  <si>
    <t>Notilopeto-H667P322/MA</t>
  </si>
  <si>
    <t>Gaceporofu-P875H779/MG</t>
  </si>
  <si>
    <t>Purutiledu-H864H626/SP</t>
  </si>
  <si>
    <t>Vipoteturu-H412H268/SP</t>
  </si>
  <si>
    <t>Gocole-H823P635/MA</t>
  </si>
  <si>
    <t>Gepepa-P551H689/MG</t>
  </si>
  <si>
    <t>Garuroro-H272P258/SP</t>
  </si>
  <si>
    <t>Nomutivi-P354H777/MA</t>
  </si>
  <si>
    <t>Raretopa-P135H989/RJ</t>
  </si>
  <si>
    <t>Dupafapide-H466H767/MA</t>
  </si>
  <si>
    <t>Pifuci-H249P844/MG</t>
  </si>
  <si>
    <t>Petapomu-H978H861/ES</t>
  </si>
  <si>
    <t>Mirote-P714P947/MA</t>
  </si>
  <si>
    <t>Ponolape-H217H485/RJ</t>
  </si>
  <si>
    <t>Namolefo-P225H168/GO</t>
  </si>
  <si>
    <t>Ruperopa-P494P375/MA</t>
  </si>
  <si>
    <t>Pepora-P393H894/ES</t>
  </si>
  <si>
    <t>Nutecidipo-P673H559/SP</t>
  </si>
  <si>
    <t>Fipero-H638H495/AL</t>
  </si>
  <si>
    <t>Comori-H679P688/MA</t>
  </si>
  <si>
    <t>Fapofuge-H822H177/GO</t>
  </si>
  <si>
    <t>Muvivena-P995P629/RJ</t>
  </si>
  <si>
    <t>Tegipu-P543H891/RJ</t>
  </si>
  <si>
    <t>Pidodida-H436H794/AL</t>
  </si>
  <si>
    <t>Ticeru-P211P731/MA</t>
  </si>
  <si>
    <t>Duropuvire-H268P868/MG</t>
  </si>
  <si>
    <t>Valefoga-P897P476/GO</t>
  </si>
  <si>
    <t>Paliveme-H926P734/MG</t>
  </si>
  <si>
    <t>Vepato-H196H261/MG</t>
  </si>
  <si>
    <t>Gutulapi-H439P916/MG</t>
  </si>
  <si>
    <t>Tururelomo-H766P398/ES</t>
  </si>
  <si>
    <t>Maguverota-P515H443/SP</t>
  </si>
  <si>
    <t>Rodope-H245P338/GO</t>
  </si>
  <si>
    <t>Poreve-H885P635/ES</t>
  </si>
  <si>
    <t>Pumipedini-P945P541/GO</t>
  </si>
  <si>
    <t>Naparune-P627P416/ES</t>
  </si>
  <si>
    <t>Ramurani-H461H116/RJ</t>
  </si>
  <si>
    <t>Girupupelo-P861P315/ES</t>
  </si>
  <si>
    <t>Pudefirana-H374H511/GO</t>
  </si>
  <si>
    <t>Cirife-P137P861/RJ</t>
  </si>
  <si>
    <t>Rudapu-P929H387/AL</t>
  </si>
  <si>
    <t>Nupopeca-P686H757/RJ</t>
  </si>
  <si>
    <t>Mulopapa-H149P153/MG</t>
  </si>
  <si>
    <t>Deficamu-H168P469/AL</t>
  </si>
  <si>
    <t>Vucipu-H554H738/MG</t>
  </si>
  <si>
    <t>Lidevu-P987H699/ES</t>
  </si>
  <si>
    <t>Rivicotu-P618P969/SP</t>
  </si>
  <si>
    <t>Depacefu-P131H625/MG</t>
  </si>
  <si>
    <t>Tagevi-P557H266/SP</t>
  </si>
  <si>
    <t>Cunofane-H668H286/ES</t>
  </si>
  <si>
    <t>Raguroto-P291P616/MG</t>
  </si>
  <si>
    <t>Coritu-P639H442/SP</t>
  </si>
  <si>
    <t>Popirapapa-P664P194/MA</t>
  </si>
  <si>
    <t>Vegomepu-P127H823/AL</t>
  </si>
  <si>
    <t>Mopema-H245H431/AL</t>
  </si>
  <si>
    <t>Pupucuto-H222H525/ES</t>
  </si>
  <si>
    <t>Palone-H466P736/ES</t>
  </si>
  <si>
    <t>Nimerilivu-P399P836/MA</t>
  </si>
  <si>
    <t>Gufipica-H765H166/RJ</t>
  </si>
  <si>
    <t>Pofatagoma-P311H262/SP</t>
  </si>
  <si>
    <t>Viticipu-P494H515/SP</t>
  </si>
  <si>
    <t>Rulufanupe-H714P951/SP</t>
  </si>
  <si>
    <t>Lapepadu-P763P355/ES</t>
  </si>
  <si>
    <t>Vedidada-H317H396/AL</t>
  </si>
  <si>
    <t>Renemuce-P133P976/RJ</t>
  </si>
  <si>
    <t>Regedodidu-H715H254/AL</t>
  </si>
  <si>
    <t>Tudericoni-H132H958/AL</t>
  </si>
  <si>
    <t>Putafative-H827H719/GO</t>
  </si>
  <si>
    <t>Donego-P824P142/GO</t>
  </si>
  <si>
    <t>Nipulitete-H665P324/SP</t>
  </si>
  <si>
    <t>Vutimo-H835P375/MA</t>
  </si>
  <si>
    <t>Fupiri-P742P641/SP</t>
  </si>
  <si>
    <t>Pepipero-P296P468/SP</t>
  </si>
  <si>
    <t>Turipi-P291H321/ES</t>
  </si>
  <si>
    <t>Nutodurere-P543P527/AL</t>
  </si>
  <si>
    <t>Tipanirelu-H229P646/SP</t>
  </si>
  <si>
    <t>Picimipive-P428P424/MA</t>
  </si>
  <si>
    <t>Rogupi-H255H614/MG</t>
  </si>
  <si>
    <t>Gogugaputo-P688H382/MG</t>
  </si>
  <si>
    <t>Femidu-P685P296/ES</t>
  </si>
  <si>
    <t>Puruturo-P645P618/SP</t>
  </si>
  <si>
    <t>Pulicepi-H231P967/MA</t>
  </si>
  <si>
    <t>Lomuparu-H816H989/AL</t>
  </si>
  <si>
    <t>Latorecire-H549H253/MA</t>
  </si>
  <si>
    <t>Repulono-H275P286/ES</t>
  </si>
  <si>
    <t>Nupoli-P375P436/MA</t>
  </si>
  <si>
    <t>Virumire-P525H528/SP</t>
  </si>
  <si>
    <t>Gavuvu-P941P534/SP</t>
  </si>
  <si>
    <t>Papitocutu-H719H834/MA</t>
  </si>
  <si>
    <t>Tilotinu-H812P623/RJ</t>
  </si>
  <si>
    <t>Topoli-P923P739/MA</t>
  </si>
  <si>
    <t>Perocutame-P269H311/SP</t>
  </si>
  <si>
    <t>Dagaripi-P112P542/MA</t>
  </si>
  <si>
    <t>Pumagape-P973H998/MG</t>
  </si>
  <si>
    <t>Rerariraga-H194H898/ES</t>
  </si>
  <si>
    <t>Comoti-H974P559/MA</t>
  </si>
  <si>
    <t>Cavato-P834H148/MA</t>
  </si>
  <si>
    <t>Motucage-P954P572/RJ</t>
  </si>
  <si>
    <t>Goteveto-P413H738/ES</t>
  </si>
  <si>
    <t>Cupute-P896P117/SP</t>
  </si>
  <si>
    <t>Vuroceloru-H446P691/MG</t>
  </si>
  <si>
    <t>Tedoga-H685P183/GO</t>
  </si>
  <si>
    <t>Gumipi-H291H544/GO</t>
  </si>
  <si>
    <t>Verugoto-H946P642/AL</t>
  </si>
  <si>
    <t>Fepedenilu-P972P878/GO</t>
  </si>
  <si>
    <t>Vapuvo-H617H617/MG</t>
  </si>
  <si>
    <t>Mopida-P669H259/RJ</t>
  </si>
  <si>
    <t>Timiro-P377H698/RJ</t>
  </si>
  <si>
    <t>Tecivi-H439P539/SP</t>
  </si>
  <si>
    <t>Vorugeramo-P357P698/RJ</t>
  </si>
  <si>
    <t>Pupoduride-H921P822/MG</t>
  </si>
  <si>
    <t>Camavudifi-P459P841/MG</t>
  </si>
  <si>
    <t>Donategavu-P617P357/MG</t>
  </si>
  <si>
    <t>Tipefunipa-H194P851/MG</t>
  </si>
  <si>
    <t>Ramota-H957P123/GO</t>
  </si>
  <si>
    <t>Torola-H379P438/RJ</t>
  </si>
  <si>
    <t>Taracecu-H311H213/MA</t>
  </si>
  <si>
    <t>Tatupide-H272H339/MA</t>
  </si>
  <si>
    <t>Titufu-P334H795/MA</t>
  </si>
  <si>
    <t>Nepega-P456H172/RJ</t>
  </si>
  <si>
    <t>Cidico-P623H564/AL</t>
  </si>
  <si>
    <t>Vegotapupe-H222P521/RJ</t>
  </si>
  <si>
    <t>Nupucu-P654H368/SP</t>
  </si>
  <si>
    <t>Ravanenora-P571H921/MG</t>
  </si>
  <si>
    <t>Rocani-H251P532/GO</t>
  </si>
  <si>
    <t>Tipolule-P722P683/ES</t>
  </si>
  <si>
    <t>Lopito-P516H412/GO</t>
  </si>
  <si>
    <t>Rirepi-P732P211/RJ</t>
  </si>
  <si>
    <t>Fecuvu-P818H941/GO</t>
  </si>
  <si>
    <t>Rufevororu-P459P953/MG</t>
  </si>
  <si>
    <t>Potulopu-P888P791/AL</t>
  </si>
  <si>
    <t>Todudepafa-H473H937/MA</t>
  </si>
  <si>
    <t>Refema-P175P643/MA</t>
  </si>
  <si>
    <t>Radulilo-P112H492/MA</t>
  </si>
  <si>
    <t>Cevoto-H353P431/MG</t>
  </si>
  <si>
    <t>Calovonete-H672H151/SP</t>
  </si>
  <si>
    <t>Nupada-P298P548/GO</t>
  </si>
  <si>
    <t>Canura-H591H639/MA</t>
  </si>
  <si>
    <t>Fucogota-H279P172/MA</t>
  </si>
  <si>
    <t>Lerenotu-P597H444/GO</t>
  </si>
  <si>
    <t>Lopogetovi-H547P237/GO</t>
  </si>
  <si>
    <t>Vageregola-P687P441/RJ</t>
  </si>
  <si>
    <t>Tinavarivo-H262H835/GO</t>
  </si>
  <si>
    <t>Tulagitu-H881H797/ES</t>
  </si>
  <si>
    <t>Rotucera-P292H889/SP</t>
  </si>
  <si>
    <t>Noterofelo-H324P677/ES</t>
  </si>
  <si>
    <t>Mupufedo-H339H136/MA</t>
  </si>
  <si>
    <t>Pecenulo-P826P957/SP</t>
  </si>
  <si>
    <t>Pelive-P777P364/GO</t>
  </si>
  <si>
    <t>Fotenevido-H112P529/MG</t>
  </si>
  <si>
    <t>Dateru-P128H216/RJ</t>
  </si>
  <si>
    <t>Pavage-P467H769/AL</t>
  </si>
  <si>
    <t>Vopogi-H488P917/MA</t>
  </si>
  <si>
    <t>Tatita-P896H592/SP</t>
  </si>
  <si>
    <t>Remufufevu-H314P231/MG</t>
  </si>
  <si>
    <t>Notopire-P254H136/MA</t>
  </si>
  <si>
    <t>Vovegapumu-H955H569/SP</t>
  </si>
  <si>
    <t>Pacolaripo-P862H553/AL</t>
  </si>
  <si>
    <t>Vopido-P286H323/MA</t>
  </si>
  <si>
    <t>Nagomu-H897P623/RJ</t>
  </si>
  <si>
    <t>Vilaca-H435H168/AL</t>
  </si>
  <si>
    <t>Dopatigu-H781H772/RJ</t>
  </si>
  <si>
    <t>Netiripa-H165H853/MG</t>
  </si>
  <si>
    <t>Tonalo-P815P782/MA</t>
  </si>
  <si>
    <t>Mucovo-P289P536/SP</t>
  </si>
  <si>
    <t>Torumavoce-H838H419/ES</t>
  </si>
  <si>
    <t>Ritapucu-H587H188/SP</t>
  </si>
  <si>
    <t>Tagetenafu-H774H478/GO</t>
  </si>
  <si>
    <t>Ludunenuvo-H237H171/GO</t>
  </si>
  <si>
    <t>Tatepu-H228P233/MA</t>
  </si>
  <si>
    <t>Tegodudi-H371H216/RJ</t>
  </si>
  <si>
    <t>Noladegeno-P617H843/AL</t>
  </si>
  <si>
    <t>Palidireta-P671P222/MA</t>
  </si>
  <si>
    <t>Peputepufi-H839H769/AL</t>
  </si>
  <si>
    <t>Demureno-P148P529/MA</t>
  </si>
  <si>
    <t>Mapuripopa-P161P896/SP</t>
  </si>
  <si>
    <t>Fofepo-P256H916/MA</t>
  </si>
  <si>
    <t>Tatura-P184H391/AL</t>
  </si>
  <si>
    <t>Tipogopipa-P541P948/RJ</t>
  </si>
  <si>
    <t>Dagipi-P835P453/SP</t>
  </si>
  <si>
    <t>Nerocu-P514P938/GO</t>
  </si>
  <si>
    <t>Fomofodano-P159P667/SP</t>
  </si>
  <si>
    <t>Demurada-H182P139/AL</t>
  </si>
  <si>
    <t>Tinale-P149P222/AL</t>
  </si>
  <si>
    <t>Tagopude-P853H932/GO</t>
  </si>
  <si>
    <t>Rapelupara-P386P654/MA</t>
  </si>
  <si>
    <t>Revometifu-H176P483/MG</t>
  </si>
  <si>
    <t>Pupelopipa-H228P446/GO</t>
  </si>
  <si>
    <t>Popadalupe-P755H892/AL</t>
  </si>
  <si>
    <t>Tapupenu-P362P425/RJ</t>
  </si>
  <si>
    <t>Togedepila-P348P529/MA</t>
  </si>
  <si>
    <t>Gigoro-H722P421/SP</t>
  </si>
  <si>
    <t>Natopi-P677P137/AL</t>
  </si>
  <si>
    <t>Pigafa-P586P465/SP</t>
  </si>
  <si>
    <t>Fenecupule-P217H655/RJ</t>
  </si>
  <si>
    <t>Pevuli-P411P886/MG</t>
  </si>
  <si>
    <t>Tupamudecu-P773P377/RJ</t>
  </si>
  <si>
    <t>Rurepatipu-P346P878/SP</t>
  </si>
  <si>
    <t>Muducifi-P639H183/ES</t>
  </si>
  <si>
    <t>Revateraro-H735P822/GO</t>
  </si>
  <si>
    <t>Pitune-P246P136/RJ</t>
  </si>
  <si>
    <t>Namine-H694P135/SP</t>
  </si>
  <si>
    <t>Mipopime-P627H464/SP</t>
  </si>
  <si>
    <t>Pugitofure-H877H329/MA</t>
  </si>
  <si>
    <t>Vonuvuce-H351H229/ES</t>
  </si>
  <si>
    <t>Corupucaru-P797P377/GO</t>
  </si>
  <si>
    <t>Paradumomu-H785P622/SP</t>
  </si>
  <si>
    <t>Tolamupe-H989P212/MG</t>
  </si>
  <si>
    <t>Pirinocare-P535P987/SP</t>
  </si>
  <si>
    <t>Facafutema-P421P978/ES</t>
  </si>
  <si>
    <t>Volota-H233P313/MG</t>
  </si>
  <si>
    <t>Veralu-P149P833/GO</t>
  </si>
  <si>
    <t>Fagavenaca-P172P944/MG</t>
  </si>
  <si>
    <t>Copoge-H114H666/RJ</t>
  </si>
  <si>
    <t>Patave-P336H433/ES</t>
  </si>
  <si>
    <t>Tagoro-P886H865/MG</t>
  </si>
  <si>
    <t>Pogora-H742P755/AL</t>
  </si>
  <si>
    <t>Tepifidudo-H768P513/MG</t>
  </si>
  <si>
    <t>Neperurefu-P378H569/RJ</t>
  </si>
  <si>
    <t>Totetagera-P771H744/MG</t>
  </si>
  <si>
    <t>Mepavugupa-P431P875/GO</t>
  </si>
  <si>
    <t>Rerucimi-P188H741/GO</t>
  </si>
  <si>
    <t>Lufemuci-H435H196/GO</t>
  </si>
  <si>
    <t>Raparanege-P523H119/RJ</t>
  </si>
  <si>
    <t>Tutirudo-H663H464/MG</t>
  </si>
  <si>
    <t>Faluru-P612H154/MG</t>
  </si>
  <si>
    <t>Fagerifu-H691P139/AL</t>
  </si>
  <si>
    <t>Momitige-H251P447/SP</t>
  </si>
  <si>
    <t>Potepeto-H693P162/GO</t>
  </si>
  <si>
    <t>Maratu-P133P955/SP</t>
  </si>
  <si>
    <t>Tegopa-P491H227/GO</t>
  </si>
  <si>
    <t>Rorapalape-P672H961/ES</t>
  </si>
  <si>
    <t>Dopedu-H559P423/ES</t>
  </si>
  <si>
    <t>Copamo-H538P327/GO</t>
  </si>
  <si>
    <t>Tunarare-P344H654/RJ</t>
  </si>
  <si>
    <t>Tutilapu-H588H384/RJ</t>
  </si>
  <si>
    <t>Roralapedo-P348H446/AL</t>
  </si>
  <si>
    <t>Fepurafi-H955H397/RJ</t>
  </si>
  <si>
    <t>Cipume-P657P282/MA</t>
  </si>
  <si>
    <t>Lifetipode-H137P286/SP</t>
  </si>
  <si>
    <t>Rapapumepo-H482H831/GO</t>
  </si>
  <si>
    <t>Pinufuru-H411H829/GO</t>
  </si>
  <si>
    <t>Cutarigu-H265P789/GO</t>
  </si>
  <si>
    <t>Tugepinice-P993P922/RJ</t>
  </si>
  <si>
    <t>Papuguvime-P976P311/MG</t>
  </si>
  <si>
    <t>Midaporeru-P656H525/SP</t>
  </si>
  <si>
    <t>Popapepori-P835P397/RJ</t>
  </si>
  <si>
    <t>Rutapepoli-H788P443/ES</t>
  </si>
  <si>
    <t>Parepe-H839P591/ES</t>
  </si>
  <si>
    <t>Denata-H696H575/MA</t>
  </si>
  <si>
    <t>Tipune-P451P551/RJ</t>
  </si>
  <si>
    <t>Pafumeludu-H816P296/ES</t>
  </si>
  <si>
    <t>Tirenedu-H623H253/SP</t>
  </si>
  <si>
    <t>Ropoticacu-H229P155/MG</t>
  </si>
  <si>
    <t>Lafilotu-H731P786/AL</t>
  </si>
  <si>
    <t>Ralutovute-H719P636/MA</t>
  </si>
  <si>
    <t>Rutepurefo-P531H634/SP</t>
  </si>
  <si>
    <t>Pifipo-P525P286/AL</t>
  </si>
  <si>
    <t>Ramegivetu-P684H355/ES</t>
  </si>
  <si>
    <t>Tilucenofe-P658H995/ES</t>
  </si>
  <si>
    <t>Fetivegupi-P272P523/MG</t>
  </si>
  <si>
    <t>Totine-P489H261/RJ</t>
  </si>
  <si>
    <t>Miporora-H126P811/GO</t>
  </si>
  <si>
    <t>Pomumi-P935H271/AL</t>
  </si>
  <si>
    <t>Rivavo-H842P997/ES</t>
  </si>
  <si>
    <t>Rufinaci-P588P726/AL</t>
  </si>
  <si>
    <t>Loveredila-H367P297/MG</t>
  </si>
  <si>
    <t>Ropucamedo-H388P257/MG</t>
  </si>
  <si>
    <t>Tavapudope-H221H367/SP</t>
  </si>
  <si>
    <t>Pigera-P458P123/RJ</t>
  </si>
  <si>
    <t>Dafarepu-P251P153/AL</t>
  </si>
  <si>
    <t>Gopurerite-P894H967/GO</t>
  </si>
  <si>
    <t>Vedupunaru-H888H535/MG</t>
  </si>
  <si>
    <t>Cenirago-H863P553/RJ</t>
  </si>
  <si>
    <t>Leroci-H143P293/ES</t>
  </si>
  <si>
    <t>Gigegadi-H637H586/SP</t>
  </si>
  <si>
    <t>Cufurufeto-H318P345/AL</t>
  </si>
  <si>
    <t>Rudapira-H932P876/MG</t>
  </si>
  <si>
    <t>Nacota-P254H868/GO</t>
  </si>
  <si>
    <t>Dupirucire-H323P195/ES</t>
  </si>
  <si>
    <t>Rerero-P511P551/AL</t>
  </si>
  <si>
    <t>Nodopela-H842H685/MA</t>
  </si>
  <si>
    <t>Mevaficuce-H359P456/RJ</t>
  </si>
  <si>
    <t>Lagitura-H622H189/GO</t>
  </si>
  <si>
    <t>Pediduruva-H221H523/GO</t>
  </si>
  <si>
    <t>Falatanaro-P245H349/ES</t>
  </si>
  <si>
    <t>Ceritu-H126P995/SP</t>
  </si>
  <si>
    <t>Dutafupafu-P151P424/SP</t>
  </si>
  <si>
    <t>Dadepumolu-H336H358/GO</t>
  </si>
  <si>
    <t>Mafuro-P816H612/ES</t>
  </si>
  <si>
    <t>Piripiroco-P354H427/AL</t>
  </si>
  <si>
    <t>Papura-H771P541/GO</t>
  </si>
  <si>
    <t>Refepanero-H716P375/MA</t>
  </si>
  <si>
    <t>Parutoparo-H927P154/MG</t>
  </si>
  <si>
    <t>Pedete-H772P132/SP</t>
  </si>
  <si>
    <t>Micuca-H353H513/SP</t>
  </si>
  <si>
    <t>Tugitogupo-P164P657/RJ</t>
  </si>
  <si>
    <t>Votiri-P443P926/MA</t>
  </si>
  <si>
    <t>Ruduru-P299H413/GO</t>
  </si>
  <si>
    <t>Ficefo-H611P878/GO</t>
  </si>
  <si>
    <t>Durepidupe-H992H688/MA</t>
  </si>
  <si>
    <t>Nulapagatu-H225H248/SP</t>
  </si>
  <si>
    <t>Felata-H959H997/ES</t>
  </si>
  <si>
    <t>Rapupatota-H662P823/MG</t>
  </si>
  <si>
    <t>Nalirinipo-P864H843/ES</t>
  </si>
  <si>
    <t>Potupe-H843P997/RJ</t>
  </si>
  <si>
    <t>Rogipo-P772H365/SP</t>
  </si>
  <si>
    <t>Povitepelo-P968H272/RJ</t>
  </si>
  <si>
    <t>Moleva-P462H584/AL</t>
  </si>
  <si>
    <t>Gepafuni-P144H457/MG</t>
  </si>
  <si>
    <t>Dorirumoru-P545P285/ES</t>
  </si>
  <si>
    <t>Tipure-H756P439/AL</t>
  </si>
  <si>
    <t>Tilate-H698P423/SP</t>
  </si>
  <si>
    <t>Dofigo-H859P396/RJ</t>
  </si>
  <si>
    <t>Vopuginotu-P794P667/GO</t>
  </si>
  <si>
    <t>Merefetufu-H693H958/GO</t>
  </si>
  <si>
    <t>Dememitovo-H617H543/SP</t>
  </si>
  <si>
    <t>Terinipe-P342P633/SP</t>
  </si>
  <si>
    <t>Vegolepiga-P572H288/RJ</t>
  </si>
  <si>
    <t>Puvuroli-H843H273/AL</t>
  </si>
  <si>
    <t>Latitapatu-H967H689/AL</t>
  </si>
  <si>
    <t>Vedumararo-P935H546/ES</t>
  </si>
  <si>
    <t>Rulirapoti-H425H154/MG</t>
  </si>
  <si>
    <t>Romipo-P814P725/MA</t>
  </si>
  <si>
    <t>Nilumi-H274H188/GO</t>
  </si>
  <si>
    <t>Delucolo-P799H323/MA</t>
  </si>
  <si>
    <t>Divitipe-P514H932/MA</t>
  </si>
  <si>
    <t>Vifipi-P231H762/MA</t>
  </si>
  <si>
    <t>Tatuge-H229P312/MA</t>
  </si>
  <si>
    <t>Navagapope-P541H983/SP</t>
  </si>
  <si>
    <t>Girepi-P593H789/SP</t>
  </si>
  <si>
    <t>Romepuma-P244P655/GO</t>
  </si>
  <si>
    <t>Neficera-H713H948/MG</t>
  </si>
  <si>
    <t>Gupolerara-P871H723/MA</t>
  </si>
  <si>
    <t>Vitunora-H142P529/RJ</t>
  </si>
  <si>
    <t>Tegeroropu-P152H931/SP</t>
  </si>
  <si>
    <t>Pegolugodu-H591H286/AL</t>
  </si>
  <si>
    <t>Tipigipi-H491P645/GO</t>
  </si>
  <si>
    <t>Tugatutapo-P753H712/GO</t>
  </si>
  <si>
    <t>Ripipavi-H822P982/ES</t>
  </si>
  <si>
    <t>Dogorogere-P857H195/SP</t>
  </si>
  <si>
    <t>Napupitolo-P826P555/RJ</t>
  </si>
  <si>
    <t>Devoda-H247P449/AL</t>
  </si>
  <si>
    <t>Vucitace-P151P983/ES</t>
  </si>
  <si>
    <t>Napano-H363P985/MG</t>
  </si>
  <si>
    <t>Cidipe-H319H319/SP</t>
  </si>
  <si>
    <t>Fuducole-H527P341/GO</t>
  </si>
  <si>
    <t>Reripelaru-H635P634/MA</t>
  </si>
  <si>
    <t>Culanu-H412P499/ES</t>
  </si>
  <si>
    <t>Pevapida-H688P366/RJ</t>
  </si>
  <si>
    <t>Vovori-P234P845/SP</t>
  </si>
  <si>
    <t>Lefodi-H771H578/SP</t>
  </si>
  <si>
    <t>Ripevafope-H451P636/MG</t>
  </si>
  <si>
    <t>Gopenemo-H155P441/MA</t>
  </si>
  <si>
    <t>Rupagu-P676P876/MA</t>
  </si>
  <si>
    <t>Nurica-P327P917/RJ</t>
  </si>
  <si>
    <t>Notomi-H924P747/RJ</t>
  </si>
  <si>
    <t>Fovede-P524H789/MG</t>
  </si>
  <si>
    <t>Riteti-H716H716/AL</t>
  </si>
  <si>
    <t>Putolitoru-H547H429/RJ</t>
  </si>
  <si>
    <t>Porimiloto-P941P799/AL</t>
  </si>
  <si>
    <t>Runulagipu-P456P861/SP</t>
  </si>
  <si>
    <t>Tepepi-H128P679/RJ</t>
  </si>
  <si>
    <t>Pidogapufi-H953H334/MA</t>
  </si>
  <si>
    <t>Moreluve-H131H977/AL</t>
  </si>
  <si>
    <t>Virapoliro-H447P843/ES</t>
  </si>
  <si>
    <t>Piteco-P947P659/MG</t>
  </si>
  <si>
    <t>Vedegila-H285H195/MG</t>
  </si>
  <si>
    <t>Rimutagira-H788H725/MA</t>
  </si>
  <si>
    <t>Fopifite-H412H686/ES</t>
  </si>
  <si>
    <t>Vopepumi-P357P917/MG</t>
  </si>
  <si>
    <t>Votava-H646P355/ES</t>
  </si>
  <si>
    <t>Mumelapopi-H227P936/GO</t>
  </si>
  <si>
    <t>Gipamaru-H764H725/MG</t>
  </si>
  <si>
    <t>Gademi-P782P382/MG</t>
  </si>
  <si>
    <t>Menelapeda-H532P698/MA</t>
  </si>
  <si>
    <t>Vetere-P849H871/MA</t>
  </si>
  <si>
    <t>Mupupopo-H459P593/ES</t>
  </si>
  <si>
    <t>Geruto-P952H265/MA</t>
  </si>
  <si>
    <t>Fomapoto-H846P798/MG</t>
  </si>
  <si>
    <t>Pacepo-P786P111/MG</t>
  </si>
  <si>
    <t>Naligede-P249P851/MA</t>
  </si>
  <si>
    <t>Redidurogo-P998H789/SP</t>
  </si>
  <si>
    <t>Pomugafa-P542H664/SP</t>
  </si>
  <si>
    <t>Lararu-P688P763/MG</t>
  </si>
  <si>
    <t>Ditatuvi-H676P682/GO</t>
  </si>
  <si>
    <t>Fidemopote-P699H925/MA</t>
  </si>
  <si>
    <t>Poteralede-P232H297/SP</t>
  </si>
  <si>
    <t>Patipalu-P346H845/SP</t>
  </si>
  <si>
    <t>Rapole-P228H172/ES</t>
  </si>
  <si>
    <t>Pumepava-P395H275/AL</t>
  </si>
  <si>
    <t>Gocuregogi-P794P551/SP</t>
  </si>
  <si>
    <t>Lacepi-P427P659/MA</t>
  </si>
  <si>
    <t>Teriparo-H545H859/MA</t>
  </si>
  <si>
    <t>Povaroliti-P731H317/SP</t>
  </si>
  <si>
    <t>Tamavuvu-P169H986/AL</t>
  </si>
  <si>
    <t>Darura-P635P391/SP</t>
  </si>
  <si>
    <t>Palarafura-P179H341/GO</t>
  </si>
  <si>
    <t>Tapafecope-P389P268/AL</t>
  </si>
  <si>
    <t>Patuterete-H574H914/AL</t>
  </si>
  <si>
    <t>Mapotifuma-P326H353/MG</t>
  </si>
  <si>
    <t>Renagipocu-H954H575/GO</t>
  </si>
  <si>
    <t>Ratodevo-H619H865/MA</t>
  </si>
  <si>
    <t>Camoda-H463P393/RJ</t>
  </si>
  <si>
    <t>Focigu-H959H643/AL</t>
  </si>
  <si>
    <t>Foropi-P246P553/GO</t>
  </si>
  <si>
    <t>Minupepe-P564H993/AL</t>
  </si>
  <si>
    <t>Dupovura-H188H328/MA</t>
  </si>
  <si>
    <t>Refugu-P137P487/MA</t>
  </si>
  <si>
    <t>Pefaperefi-H887P635/AL</t>
  </si>
  <si>
    <t>Perupinace-P263P296/ES</t>
  </si>
  <si>
    <t>Firefero-P662P244/RJ</t>
  </si>
  <si>
    <t>Favegi-H674H933/GO</t>
  </si>
  <si>
    <t>Venoro-H797H836/AL</t>
  </si>
  <si>
    <t>Getopigi-H264H836/AL</t>
  </si>
  <si>
    <t>Capoli-H554H172/GO</t>
  </si>
  <si>
    <t>Gimape-P443H361/SP</t>
  </si>
  <si>
    <t>Paregaga-H712H691/SP</t>
  </si>
  <si>
    <t>Tatoraci-H665H516/MG</t>
  </si>
  <si>
    <t>Tiponetatu-P224P834/MA</t>
  </si>
  <si>
    <t>Rutaligi-P858P151/ES</t>
  </si>
  <si>
    <t>Mupora-H542P123/AL</t>
  </si>
  <si>
    <t>Ruvepila-P964H395/ES</t>
  </si>
  <si>
    <t>Lacepeta-H196P132/GO</t>
  </si>
  <si>
    <t>Mimopurite-P825H764/RJ</t>
  </si>
  <si>
    <t>Furetugucu-P791H994/AL</t>
  </si>
  <si>
    <t>Runite-P342H318/MA</t>
  </si>
  <si>
    <t>Tivipomo-H367H118/AL</t>
  </si>
  <si>
    <t>Ropiginu-P754H859/AL</t>
  </si>
  <si>
    <t>Nirefe-H625P674/MG</t>
  </si>
  <si>
    <t>Gipirugodu-H999H161/MG</t>
  </si>
  <si>
    <t>Nutetafava-H358H871/MA</t>
  </si>
  <si>
    <t>Pevora-P156P922/MA</t>
  </si>
  <si>
    <t>Panavaro-H994H796/MA</t>
  </si>
  <si>
    <t>Dipegetu-P152P837/AL</t>
  </si>
  <si>
    <t>Covularacu-H379P777/MG</t>
  </si>
  <si>
    <t>Virici-H548P783/RJ</t>
  </si>
  <si>
    <t>Gevimugepe-P139P598/ES</t>
  </si>
  <si>
    <t>Farano-P856P547/SP</t>
  </si>
  <si>
    <t>Tidogutupu-H777H534/RJ</t>
  </si>
  <si>
    <t>Turido-P794P226/AL</t>
  </si>
  <si>
    <t>Cagutoto-P117P671/SP</t>
  </si>
  <si>
    <t>Vupoto-H432H259/MA</t>
  </si>
  <si>
    <t>Tagorutodi-H623P411/AL</t>
  </si>
  <si>
    <t>Goganaca-P731P581/MG</t>
  </si>
  <si>
    <t>Gitipeve-H717H943/ES</t>
  </si>
  <si>
    <t>Dagila-P363H756/MG</t>
  </si>
  <si>
    <t>Pelopepe-H129P156/MG</t>
  </si>
  <si>
    <t>Taceturu-H532H831/GO</t>
  </si>
  <si>
    <t>Ropucifipe-H171H219/ES</t>
  </si>
  <si>
    <t>Dapufu-H528H692/ES</t>
  </si>
  <si>
    <t>Filefa-H985P685/SP</t>
  </si>
  <si>
    <t>Dugafupugi-H936H139/SP</t>
  </si>
  <si>
    <t>Rafugepa-P352P686/MA</t>
  </si>
  <si>
    <t>Catuna-H672P964/SP</t>
  </si>
  <si>
    <t>Gecefo-H486H939/AL</t>
  </si>
  <si>
    <t>Focelide-P367P951/SP</t>
  </si>
  <si>
    <t>Lamiva-P526P779/GO</t>
  </si>
  <si>
    <t>Tipare-H775P913/SP</t>
  </si>
  <si>
    <t>Toledapira-H817P115/SP</t>
  </si>
  <si>
    <t>Numupugare-P963H837/AL</t>
  </si>
  <si>
    <t>Pepinireva-H233H424/RJ</t>
  </si>
  <si>
    <t>Dopemedero-P933H836/MA</t>
  </si>
  <si>
    <t>Gatale-H181P646/MG</t>
  </si>
  <si>
    <t>Diporare-P494H522/ES</t>
  </si>
  <si>
    <t>Petitode-H119P473/SP</t>
  </si>
  <si>
    <t>Patupagere-P571H242/RJ</t>
  </si>
  <si>
    <t>Menora-P948P317/AL</t>
  </si>
  <si>
    <t>Tevulurupo-H572P593/MG</t>
  </si>
  <si>
    <t>Vutotomi-P568P213/GO</t>
  </si>
  <si>
    <t>Nopofo-H865H352/GO</t>
  </si>
  <si>
    <t>Gegati-H594H412/AL</t>
  </si>
  <si>
    <t>Caripate-H715H369/RJ</t>
  </si>
  <si>
    <t>Pecomi-H893P763/ES</t>
  </si>
  <si>
    <t>Civifa-P159H445/MG</t>
  </si>
  <si>
    <t>Tupipa-H578H231/MA</t>
  </si>
  <si>
    <t>Ramuri-P411P331/MA</t>
  </si>
  <si>
    <t>Renaraguvo-P985P121/RJ</t>
  </si>
  <si>
    <t>Vipoviliru-H419H879/MG</t>
  </si>
  <si>
    <t>Rupipu-H615H536/RJ</t>
  </si>
  <si>
    <t>Malari-H485H921/RJ</t>
  </si>
  <si>
    <t>Mepilevano-H845H617/GO</t>
  </si>
  <si>
    <t>Potepi-P312P598/RJ</t>
  </si>
  <si>
    <t>Tulapori-P512P698/ES</t>
  </si>
  <si>
    <t>Titadi-H112P536/MG</t>
  </si>
  <si>
    <t>Leripu-P959H347/SP</t>
  </si>
  <si>
    <t>Vopupopi-P648P328/GO</t>
  </si>
  <si>
    <t>Dupotu-P392H978/AL</t>
  </si>
  <si>
    <t>Ropapa-H261P913/GO</t>
  </si>
  <si>
    <t>Megepenopa-P282H278/GO</t>
  </si>
  <si>
    <t>Pepacu-H732P916/MG</t>
  </si>
  <si>
    <t>Rupete-P526H675/MA</t>
  </si>
  <si>
    <t>Papupare-P917H765/SP</t>
  </si>
  <si>
    <t>Dafapimuro-H289H557/SP</t>
  </si>
  <si>
    <t>Mupudave-H776H352/AL</t>
  </si>
  <si>
    <t>Padula-P932H516/SP</t>
  </si>
  <si>
    <t>Ragelurapo-P992P261/MA</t>
  </si>
  <si>
    <t>Pilurotu-H383P883/GO</t>
  </si>
  <si>
    <t>Mofifi-P738P663/ES</t>
  </si>
  <si>
    <t>Tafovo-H471P831/MA</t>
  </si>
  <si>
    <t>Culelifofi-P234P125/RJ</t>
  </si>
  <si>
    <t>Tunonurepo-P987H629/MA</t>
  </si>
  <si>
    <t>Dutaromipa-P616P664/AL</t>
  </si>
  <si>
    <t>Lamefepe-H487P611/GO</t>
  </si>
  <si>
    <t>Vepipeculu-P746P572/RJ</t>
  </si>
  <si>
    <t>Mefepedupi-H416H849/SP</t>
  </si>
  <si>
    <t>Murerava-H227P855/SP</t>
  </si>
  <si>
    <t>Pudapigo-P368H496/GO</t>
  </si>
  <si>
    <t>Citufopo-P721H459/SP</t>
  </si>
  <si>
    <t>Fupupotepa-P863H316/MG</t>
  </si>
  <si>
    <t>Pecefuceru-P744P414/SP</t>
  </si>
  <si>
    <t>Pudimevato-P976P227/GO</t>
  </si>
  <si>
    <t>Pupuponi-H893H846/MG</t>
  </si>
  <si>
    <t>Foturero-P243P814/SP</t>
  </si>
  <si>
    <t>Focopalo-H757H344/GO</t>
  </si>
  <si>
    <t>Canecegupo-H736P987/AL</t>
  </si>
  <si>
    <t>Paganupu-H837H657/SP</t>
  </si>
  <si>
    <t>Dopofuginu-H128P723/AL</t>
  </si>
  <si>
    <t>Fopota-H657P379/MA</t>
  </si>
  <si>
    <t>Vavude-P949H129/MA</t>
  </si>
  <si>
    <t>Piduvifitu-P789H652/AL</t>
  </si>
  <si>
    <t>Pufufegu-H851P576/GO</t>
  </si>
  <si>
    <t>Fanulofapu-H665H688/GO</t>
  </si>
  <si>
    <t>Malecotu-H155H148/MA</t>
  </si>
  <si>
    <t>Dopitope-P616P319/MA</t>
  </si>
  <si>
    <t>Peturufa-P764P334/MA</t>
  </si>
  <si>
    <t>Fefepo-H734H553/RJ</t>
  </si>
  <si>
    <t>Luline-H874H185/SP</t>
  </si>
  <si>
    <t>Mapidemo-P363P381/AL</t>
  </si>
  <si>
    <t>Gevurupuru-P968P994/RJ</t>
  </si>
  <si>
    <t>Pimarofu-P825P235/MA</t>
  </si>
  <si>
    <t>Tidinudifa-H366H311/MG</t>
  </si>
  <si>
    <t>Panetepu-H149H948/ES</t>
  </si>
  <si>
    <t>Cafipevu-H186P661/MG</t>
  </si>
  <si>
    <t>Cepavepe-H892H587/ES</t>
  </si>
  <si>
    <t>Todogapi-H433P157/ES</t>
  </si>
  <si>
    <t>Tecipo-P195P496/MG</t>
  </si>
  <si>
    <t>Nicupevo-P521P536/AL</t>
  </si>
  <si>
    <t>Nepidu-P917H856/ES</t>
  </si>
  <si>
    <t>Lararudoda-P796H317/MA</t>
  </si>
  <si>
    <t>Garurapive-H415H984/ES</t>
  </si>
  <si>
    <t>Tuvodona-H749P499/RJ</t>
  </si>
  <si>
    <t>Nolunotali-H196P767/MG</t>
  </si>
  <si>
    <t>Ridameto-H912H631/MG</t>
  </si>
  <si>
    <t>Pudepipomu-H881H799/MG</t>
  </si>
  <si>
    <t>Tupecuvatu-H987H461/MA</t>
  </si>
  <si>
    <t>Papupu-P725P788/ES</t>
  </si>
  <si>
    <t>Cipati-P774P491/AL</t>
  </si>
  <si>
    <t>Pemecidi-P986H136/MA</t>
  </si>
  <si>
    <t>Potataceme-H146P647/RJ</t>
  </si>
  <si>
    <t>Gedupovu-P728P865/GO</t>
  </si>
  <si>
    <t>Panoto-P774H521/ES</t>
  </si>
  <si>
    <t>Conupopire-P645H914/MG</t>
  </si>
  <si>
    <t>Topinevelu-P356H883/ES</t>
  </si>
  <si>
    <t>Vopitonu-H211P148/AL</t>
  </si>
  <si>
    <t>Ritucona-P612P581/MA</t>
  </si>
  <si>
    <t>Ropanuguvo-H596P197/MG</t>
  </si>
  <si>
    <t>Purumu-P595P329/MG</t>
  </si>
  <si>
    <t>Pumoparolo-H817H861/RJ</t>
  </si>
  <si>
    <t>Retotamita-H793H564/RJ</t>
  </si>
  <si>
    <t>Rupenono-P546P732/MG</t>
  </si>
  <si>
    <t>Tipedoce-H468H474/SP</t>
  </si>
  <si>
    <t>Pafevofune-H471H591/MA</t>
  </si>
  <si>
    <t>Curumemogo-H567H167/ES</t>
  </si>
  <si>
    <t>Paniduti-H797P813/MA</t>
  </si>
  <si>
    <t>Rarinagu-P155H888/ES</t>
  </si>
  <si>
    <t>Dolite-H755H977/AL</t>
  </si>
  <si>
    <t>Nipuralapo-H136P128/MG</t>
  </si>
  <si>
    <t>Fumorato-H667H339/ES</t>
  </si>
  <si>
    <t>Cifetu-H218H359/AL</t>
  </si>
  <si>
    <t>Ritipa-P298P658/SP</t>
  </si>
  <si>
    <t>Gatodenopi-H797H622/MA</t>
  </si>
  <si>
    <t>Tuluvu-P372P994/GO</t>
  </si>
  <si>
    <t>Pugopi-H628P885/RJ</t>
  </si>
  <si>
    <t>Tanivo-P549H884/SP</t>
  </si>
  <si>
    <t>Ditotu-P391P742/MA</t>
  </si>
  <si>
    <t>Torace-H579P381/AL</t>
  </si>
  <si>
    <t>Rapetofe-H692H175/RJ</t>
  </si>
  <si>
    <t>Gomogulope-P971H853/MG</t>
  </si>
  <si>
    <t>Navopape-P923H215/ES</t>
  </si>
  <si>
    <t>Pularimudi-P153P691/RJ</t>
  </si>
  <si>
    <t>Dopetupo-H342P996/MA</t>
  </si>
  <si>
    <t>Filevi-P877P816/MA</t>
  </si>
  <si>
    <t>Mocupomugu-P993H465/RJ</t>
  </si>
  <si>
    <t>Pafuveda-P344P352/MG</t>
  </si>
  <si>
    <t>Ronilufe-H662H357/RJ</t>
  </si>
  <si>
    <t>Nupate-H911P329/ES</t>
  </si>
  <si>
    <t>Vudima-H596P465/GO</t>
  </si>
  <si>
    <t>Mumupi-P148H775/MA</t>
  </si>
  <si>
    <t>Ripevali-H875P343/GO</t>
  </si>
  <si>
    <t>Lapuvoca-P241H848/MG</t>
  </si>
  <si>
    <t>Tucilori-H481H359/GO</t>
  </si>
  <si>
    <t>Vamuretolo-P661H577/SP</t>
  </si>
  <si>
    <t>Pifofugepa-H525P646/MG</t>
  </si>
  <si>
    <t>Lopereva-P966P564/MA</t>
  </si>
  <si>
    <t>Virira-H611H517/AL</t>
  </si>
  <si>
    <t>Gimametu-P746P148/AL</t>
  </si>
  <si>
    <t>Pepinarute-P762P982/AL</t>
  </si>
  <si>
    <t>Polapu-H324P972/MA</t>
  </si>
  <si>
    <t>Lorago-H277H195/MG</t>
  </si>
  <si>
    <t>Cupepono-H233H425/MG</t>
  </si>
  <si>
    <t>Nipupunimi-P173H754/ES</t>
  </si>
  <si>
    <t>Nitupuca-P325H367/AL</t>
  </si>
  <si>
    <t>Puguvi-P548P253/ES</t>
  </si>
  <si>
    <t>Tapovo-H139P529/SP</t>
  </si>
  <si>
    <t>Tafecaguto-P677P457/RJ</t>
  </si>
  <si>
    <t>Litenele-P386H897/AL</t>
  </si>
  <si>
    <t>Titagegi-H567H939/RJ</t>
  </si>
  <si>
    <t>Rafelerapi-P797H275/GO</t>
  </si>
  <si>
    <t>Pepugocepi-H663H166/GO</t>
  </si>
  <si>
    <t>Rupatoramu-H161P797/ES</t>
  </si>
  <si>
    <t>Pevepe-P426H388/MG</t>
  </si>
  <si>
    <t>Terite-H984H298/MA</t>
  </si>
  <si>
    <t>Cicoratopi-P829P661/SP</t>
  </si>
  <si>
    <t>Tofapapa-H966H473/RJ</t>
  </si>
  <si>
    <t>Litamalo-H717P222/GO</t>
  </si>
  <si>
    <t>Deforidula-P264H647/RJ</t>
  </si>
  <si>
    <t>Rumipitero-H288P128/MG</t>
  </si>
  <si>
    <t>Lefopa-P728H446/ES</t>
  </si>
  <si>
    <t>Penunu-P328H362/GO</t>
  </si>
  <si>
    <t>Dapeli-P197H653/MA</t>
  </si>
  <si>
    <t>Cefolado-P996P358/ES</t>
  </si>
  <si>
    <t>Fenocete-H696H439/GO</t>
  </si>
  <si>
    <t>Pefunotifa-H863P859/GO</t>
  </si>
  <si>
    <t>Cetame-P187H652/GO</t>
  </si>
  <si>
    <t>Vitagu-H635P832/GO</t>
  </si>
  <si>
    <t>Ruruperave-H159H591/MA</t>
  </si>
  <si>
    <t>Pavopavu-P374H788/MG</t>
  </si>
  <si>
    <t>Purupetilu-H678P823/ES</t>
  </si>
  <si>
    <t>Litavolu-H873P158/SP</t>
  </si>
  <si>
    <t>Repugo-H412P682/MA</t>
  </si>
  <si>
    <t>Levafi-P152P474/SP</t>
  </si>
  <si>
    <t>Dovetumofi-P976P355/MA</t>
  </si>
  <si>
    <t>Fitirulana-H535H684/AL</t>
  </si>
  <si>
    <t>Rotapulevu-H283P215/GO</t>
  </si>
  <si>
    <t>Gidenope-P152P311/ES</t>
  </si>
  <si>
    <t>Pulopu-P636P378/SP</t>
  </si>
  <si>
    <t>Firuritu-P271H832/RJ</t>
  </si>
  <si>
    <t>Depaloda-H964H355/MA</t>
  </si>
  <si>
    <t>Vatuce-H494H796/RJ</t>
  </si>
  <si>
    <t>Pifuvi-P367H993/RJ</t>
  </si>
  <si>
    <t>Depagimera-P571H459/ES</t>
  </si>
  <si>
    <t>Moculo-H443H437/MG</t>
  </si>
  <si>
    <t>Pidolufupa-H226H139/MG</t>
  </si>
  <si>
    <t>Rirurinu-H473H619/ES</t>
  </si>
  <si>
    <t>Tupucona-H891H786/ES</t>
  </si>
  <si>
    <t>Fadutepe-P613H581/MG</t>
  </si>
  <si>
    <t>Fopupugafe-P869H236/GO</t>
  </si>
  <si>
    <t>Micitogufa-H212H255/MA</t>
  </si>
  <si>
    <t>Tocoti-H775P482/AL</t>
  </si>
  <si>
    <t>Patefore-H535H254/AL</t>
  </si>
  <si>
    <t>Pirumi-H878P976/RJ</t>
  </si>
  <si>
    <t>Tutuditoli-H756P163/AL</t>
  </si>
  <si>
    <t>Pumoto-P826P232/ES</t>
  </si>
  <si>
    <t>Varuturove-P941H326/SP</t>
  </si>
  <si>
    <t>Nocogifo-P953P965/RJ</t>
  </si>
  <si>
    <t>Teparavuti-H979H177/RJ</t>
  </si>
  <si>
    <t>Patanipifo-H467P555/MG</t>
  </si>
  <si>
    <t>Ratumova-P961H738/RJ</t>
  </si>
  <si>
    <t>Pecanemi-H259H941/AL</t>
  </si>
  <si>
    <t>Mupovara-H659H495/RJ</t>
  </si>
  <si>
    <t>Tanacapege-P527P146/ES</t>
  </si>
  <si>
    <t>Tepudo-P724H737/RJ</t>
  </si>
  <si>
    <t>Purevacuve-H331H332/RJ</t>
  </si>
  <si>
    <t>Regapori-H115H546/MA</t>
  </si>
  <si>
    <t>Lereteri-P138H892/RJ</t>
  </si>
  <si>
    <t>Tudipo-P984P119/MG</t>
  </si>
  <si>
    <t>Tafonicetu-H848H735/MA</t>
  </si>
  <si>
    <t>Pupolapo-P247P143/RJ</t>
  </si>
  <si>
    <t>Rurupo-H194H919/RJ</t>
  </si>
  <si>
    <t>Mamema-P576H167/ES</t>
  </si>
  <si>
    <t>Vapacimela-H448P189/RJ</t>
  </si>
  <si>
    <t>Lupifo-H181P867/SP</t>
  </si>
  <si>
    <t>Cidetefo-H256P455/GO</t>
  </si>
  <si>
    <t>Larapiluco-H667H892/MG</t>
  </si>
  <si>
    <t>Lodopamiru-P689P898/RJ</t>
  </si>
  <si>
    <t>Dotedu-P982P962/MG</t>
  </si>
  <si>
    <t>Papodafu-P174P215/MG</t>
  </si>
  <si>
    <t>Penuperepe-H571P212/MA</t>
  </si>
  <si>
    <t>Nemopice-H846P778/AL</t>
  </si>
  <si>
    <t>Patipopudo-H139P978/MG</t>
  </si>
  <si>
    <t>Pufimimo-H186P944/MG</t>
  </si>
  <si>
    <t>Celitufinu-H781H636/ES</t>
  </si>
  <si>
    <t>Cirofa-P334P765/AL</t>
  </si>
  <si>
    <t>Poceturunu-H626H175/SP</t>
  </si>
  <si>
    <t>Tagunavife-P542P947/AL</t>
  </si>
  <si>
    <t>Ganice-H673P571/SP</t>
  </si>
  <si>
    <t>Gavule-P393P998/GO</t>
  </si>
  <si>
    <t>Daripupalu-P231H291/MG</t>
  </si>
  <si>
    <t>Pilipa-H381H737/MA</t>
  </si>
  <si>
    <t>Liretugina-P996P462/MG</t>
  </si>
  <si>
    <t>Toticica-P831P966/RJ</t>
  </si>
  <si>
    <t>Tifolito-P317P765/MA</t>
  </si>
  <si>
    <t>Cegefe-P248P453/GO</t>
  </si>
  <si>
    <t>Dotate-P196P971/MA</t>
  </si>
  <si>
    <t>Rupegi-P853P455/MA</t>
  </si>
  <si>
    <t>Teredefuvi-P288P446/GO</t>
  </si>
  <si>
    <t>Getulatigu-P531P457/RJ</t>
  </si>
  <si>
    <t>Rurapirefu-P635P142/RJ</t>
  </si>
  <si>
    <t>Figugidi-P212H834/AL</t>
  </si>
  <si>
    <t>Tutipaneli-P379H329/RJ</t>
  </si>
  <si>
    <t>Fefapo-H463H424/RJ</t>
  </si>
  <si>
    <t>Pedupavuro-H711P298/MA</t>
  </si>
  <si>
    <t>Dateradido-P262H611/ES</t>
  </si>
  <si>
    <t>Falumavu-H653P541/GO</t>
  </si>
  <si>
    <t>Gefevofe-P721H182/RJ</t>
  </si>
  <si>
    <t>Tapirutavi-P796P453/GO</t>
  </si>
  <si>
    <t>Totoratoti-H136P937/MG</t>
  </si>
  <si>
    <t>Gofipepive-P119H836/MG</t>
  </si>
  <si>
    <t>Matalupa-H978H862/MG</t>
  </si>
  <si>
    <t>Perifelire-P676H665/ES</t>
  </si>
  <si>
    <t>Vigeva-H695H871/RJ</t>
  </si>
  <si>
    <t>Toduti-P112P346/GO</t>
  </si>
  <si>
    <t>Folarofe-H645P187/ES</t>
  </si>
  <si>
    <t>Pitocupo-H793H261/MA</t>
  </si>
  <si>
    <t>Mupapu-P361H558/RJ</t>
  </si>
  <si>
    <t>Momuragi-H136P687/MG</t>
  </si>
  <si>
    <t>Ranapanana-H881H851/RJ</t>
  </si>
  <si>
    <t>Maputa-P854P273/AL</t>
  </si>
  <si>
    <t>Tafotafi-P917P759/ES</t>
  </si>
  <si>
    <t>Gipecemura-H544P832/AL</t>
  </si>
  <si>
    <t>Leduri-P728P973/MG</t>
  </si>
  <si>
    <t>Rivomopovo-P816H162/RJ</t>
  </si>
  <si>
    <t>Gilatodefo-H522H664/MA</t>
  </si>
  <si>
    <t>Vonepa-P341H534/AL</t>
  </si>
  <si>
    <t>Gecupeputo-P581P245/RJ</t>
  </si>
  <si>
    <t>Ragupe-P245H527/MA</t>
  </si>
  <si>
    <t>Fivoni-P297P848/ES</t>
  </si>
  <si>
    <t>Vunipi-P255P261/RJ</t>
  </si>
  <si>
    <t>Govodipida-P363H472/AL</t>
  </si>
  <si>
    <t>Carinimopa-P167P955/MG</t>
  </si>
  <si>
    <t>Didedida-H616P578/MG</t>
  </si>
  <si>
    <t>Cudamocopi-P667H188/RJ</t>
  </si>
  <si>
    <t>Miculacaco-H558H348/ES</t>
  </si>
  <si>
    <t>Todope-P258P177/GO</t>
  </si>
  <si>
    <t>Lamatutuge-P997H739/MA</t>
  </si>
  <si>
    <t>Parata-H161H515/RJ</t>
  </si>
  <si>
    <t>Maloro-P898P571/ES</t>
  </si>
  <si>
    <t>Ruvegegu-P954H526/RJ</t>
  </si>
  <si>
    <t>Ridamipoca-H555P437/MA</t>
  </si>
  <si>
    <t>Devimi-P996H857/GO</t>
  </si>
  <si>
    <t>Cifavava-H473P162/ES</t>
  </si>
  <si>
    <t>Pagarocu-P227H348/MA</t>
  </si>
  <si>
    <t>Ripati-H818H637/GO</t>
  </si>
  <si>
    <t>Fuvatuve-H433H847/SP</t>
  </si>
  <si>
    <t>Tovumo-H279H464/RJ</t>
  </si>
  <si>
    <t>Gupafe-H753P766/RJ</t>
  </si>
  <si>
    <t>Logagerita-H616P445/SP</t>
  </si>
  <si>
    <t>Putitoni-H842P672/MA</t>
  </si>
  <si>
    <t>Ramilifu-P277P789/RJ</t>
  </si>
  <si>
    <t>Popiro-H818H356/SP</t>
  </si>
  <si>
    <t>Fivufafu-P131P229/GO</t>
  </si>
  <si>
    <t>Motocopu-P143H569/AL</t>
  </si>
  <si>
    <t>Falacoro-P754H795/AL</t>
  </si>
  <si>
    <t>Lerufi-H123P182/MG</t>
  </si>
  <si>
    <t>Fipacu-H866P457/RJ</t>
  </si>
  <si>
    <t>Cevuro-P886P282/SP</t>
  </si>
  <si>
    <t>Gigopego-H737P774/ES</t>
  </si>
  <si>
    <t>Titavavo-P463P624/GO</t>
  </si>
  <si>
    <t>Gigeta-H184P767/AL</t>
  </si>
  <si>
    <t>Pugodapero-P382P814/GO</t>
  </si>
  <si>
    <t>Lucatutidu-H976H233/RJ</t>
  </si>
  <si>
    <t>Napapafetu-P422P744/ES</t>
  </si>
  <si>
    <t>Fulolu-P773H244/SP</t>
  </si>
  <si>
    <t>Tatovuvema-H649H587/RJ</t>
  </si>
  <si>
    <t>Lefipetegi-H491H223/MG</t>
  </si>
  <si>
    <t>Pecopanu-P171P465/SP</t>
  </si>
  <si>
    <t>Mepone-P511H352/ES</t>
  </si>
  <si>
    <t>Picicunepi-H179H927/SP</t>
  </si>
  <si>
    <t>Rolape-H621H241/AL</t>
  </si>
  <si>
    <t>Tedoda-P128H533/GO</t>
  </si>
  <si>
    <t>Pogodipoma-H933P916/AL</t>
  </si>
  <si>
    <t>Rupina-H868H654/GO</t>
  </si>
  <si>
    <t>Pifufuvopi-H891H947/AL</t>
  </si>
  <si>
    <t>Fatape-H176H619/AL</t>
  </si>
  <si>
    <t>Ponepu-H973H235/MG</t>
  </si>
  <si>
    <t>Lacevicela-P942H818/MA</t>
  </si>
  <si>
    <t>Rutepofo-H377P596/RJ</t>
  </si>
  <si>
    <t>Dufepipa-H619P476/RJ</t>
  </si>
  <si>
    <t>Cugunitama-P795H816/MG</t>
  </si>
  <si>
    <t>Tafamuneci-H643H178/MG</t>
  </si>
  <si>
    <t>Punaci-H616P857/MG</t>
  </si>
  <si>
    <t>Puripale-P635H863/RJ</t>
  </si>
  <si>
    <t>Meteti-P537P862/ES</t>
  </si>
  <si>
    <t>Pepopire-P364H388/GO</t>
  </si>
  <si>
    <t>Gacugo-H689H642/ES</t>
  </si>
  <si>
    <t>Fitavapiru-P165H127/MG</t>
  </si>
  <si>
    <t>Nerutura-H866P428/AL</t>
  </si>
  <si>
    <t>Farucumo-P183P283/ES</t>
  </si>
  <si>
    <t>Pucaparevo-P672P215/ES</t>
  </si>
  <si>
    <t>Riraropelu-P342H433/RJ</t>
  </si>
  <si>
    <t>Gugiteci-P511P111/ES</t>
  </si>
  <si>
    <t>Datupida-H328H638/SP</t>
  </si>
  <si>
    <t>Pacugi-P785P741/GO</t>
  </si>
  <si>
    <t>Potefi-P486H615/MG</t>
  </si>
  <si>
    <t>Poverovopa-P545P172/MG</t>
  </si>
  <si>
    <t>Gupivodare-P776P514/MA</t>
  </si>
  <si>
    <t>Tupanomipo-H455H471/SP</t>
  </si>
  <si>
    <t>Nagemagimu-H292H779/ES</t>
  </si>
  <si>
    <t>Dutulu-P279H239/ES</t>
  </si>
  <si>
    <t>Renuce-H482H713/MG</t>
  </si>
  <si>
    <t>Penutofale-H863P434/ES</t>
  </si>
  <si>
    <t>Fipicuvu-H166H859/ES</t>
  </si>
  <si>
    <t>Purenu-H944P315/AL</t>
  </si>
  <si>
    <t>Vupona-P413H448/MG</t>
  </si>
  <si>
    <t>Polidato-P199H831/MG</t>
  </si>
  <si>
    <t>Peteca-H994P371/GO</t>
  </si>
  <si>
    <t>Derodace-P865H454/RJ</t>
  </si>
  <si>
    <t>Ticivireti-P477H999/AL</t>
  </si>
  <si>
    <t>Livipeli-P886P739/AL</t>
  </si>
  <si>
    <t>Vimugodi-H462H842/ES</t>
  </si>
  <si>
    <t>Regadaletu-H322P878/AL</t>
  </si>
  <si>
    <t>Dumira-P744H764/SP</t>
  </si>
  <si>
    <t>Gutemu-H971P645/AL</t>
  </si>
  <si>
    <t>Padutavoti-P431H563/GO</t>
  </si>
  <si>
    <t>Tipelege-P525H789/ES</t>
  </si>
  <si>
    <t>Lumalamu-P769P827/SP</t>
  </si>
  <si>
    <t>Devonipu-P778P986/MG</t>
  </si>
  <si>
    <t>Tirepurori-P117H298/MG</t>
  </si>
  <si>
    <t>Nomenivocu-P886P179/GO</t>
  </si>
  <si>
    <t>Movifapera-H699P337/AL</t>
  </si>
  <si>
    <t>Putipepala-P121P983/MA</t>
  </si>
  <si>
    <t>Tegodo-H112H485/AL</t>
  </si>
  <si>
    <t>Gapavupapi-H736H945/AL</t>
  </si>
  <si>
    <t>Repago-H181P142/MG</t>
  </si>
  <si>
    <t>Cidotoco-H239P828/MA</t>
  </si>
  <si>
    <t>Mopilagopu-P826H536/GO</t>
  </si>
  <si>
    <t>Nonepu-P251H335/RJ</t>
  </si>
  <si>
    <t>Pepapu-P374H431/RJ</t>
  </si>
  <si>
    <t>Tagatiripo-H479H132/MA</t>
  </si>
  <si>
    <t>Tucerutito-P195P439/ES</t>
  </si>
  <si>
    <t>Perulu-P483H531/GO</t>
  </si>
  <si>
    <t>Mulamigadi-P375P778/MG</t>
  </si>
  <si>
    <t>Fitogoma-P425P982/RJ</t>
  </si>
  <si>
    <t>Lovuli-H569P586/GO</t>
  </si>
  <si>
    <t>Ritomipevu-P511P556/MG</t>
  </si>
  <si>
    <t>Meparepu-H687H264/AL</t>
  </si>
  <si>
    <t>Pepitapa-P678H498/RJ</t>
  </si>
  <si>
    <t>Vavara-H645H619/SP</t>
  </si>
  <si>
    <t>Cacudo-H881P556/GO</t>
  </si>
  <si>
    <t>Venira-P138P995/GO</t>
  </si>
  <si>
    <t>Vafuvodugi-H599P613/MA</t>
  </si>
  <si>
    <t>Pofitipe-H396H578/AL</t>
  </si>
  <si>
    <t>Gotulipa-H695P825/GO</t>
  </si>
  <si>
    <t>Cidarutaco-H115P855/ES</t>
  </si>
  <si>
    <t>Fivadote-H546H924/SP</t>
  </si>
  <si>
    <t>Vadori-P449H587/ES</t>
  </si>
  <si>
    <t>Nanumadumo-P197H677/GO</t>
  </si>
  <si>
    <t>Cutite-P274P255/MA</t>
  </si>
  <si>
    <t>Dotutugo-P191P755/ES</t>
  </si>
  <si>
    <t>Tapopovonu-H785P683/MG</t>
  </si>
  <si>
    <t>Lerumelule-P693H457/SP</t>
  </si>
  <si>
    <t>Pugelumapu-H293P564/AL</t>
  </si>
  <si>
    <t>Puripiladu-P878P681/RJ</t>
  </si>
  <si>
    <t>Matepuco-H239H915/GO</t>
  </si>
  <si>
    <t>Mopatu-P899H681/MG</t>
  </si>
  <si>
    <t>Detotera-P259P945/AL</t>
  </si>
  <si>
    <t>Rutigipala-H359H783/ES</t>
  </si>
  <si>
    <t>Gemofiviru-P869P186/MA</t>
  </si>
  <si>
    <t>Ficopi-P983P623/GO</t>
  </si>
  <si>
    <t>Tudoropo-H448H437/GO</t>
  </si>
  <si>
    <t>Ludipodedu-P116H876/MG</t>
  </si>
  <si>
    <t>Papipe-P175H683/RJ</t>
  </si>
  <si>
    <t>Ledatete-H792P426/SP</t>
  </si>
  <si>
    <t>Locipu-P941P925/AL</t>
  </si>
  <si>
    <t>Nacumo-H559H423/SP</t>
  </si>
  <si>
    <t>Ritamodoru-P425P391/RJ</t>
  </si>
  <si>
    <t>Rerafireru-H675H746/SP</t>
  </si>
  <si>
    <t>Mevudufagu-H662H697/MA</t>
  </si>
  <si>
    <t>Diruredole-P367P713/MA</t>
  </si>
  <si>
    <t>Temifara-P888H517/ES</t>
  </si>
  <si>
    <t>Tirinegide-H184H694/ES</t>
  </si>
  <si>
    <t>Fatigo-H425P241/GO</t>
  </si>
  <si>
    <t>Pegeme-P436H986/MG</t>
  </si>
  <si>
    <t>Padimipo-H432H785/SP</t>
  </si>
  <si>
    <t>Veteri-P558H147/MA</t>
  </si>
  <si>
    <t>Nulidepufa-P981H484/AL</t>
  </si>
  <si>
    <t>Fivevateci-H522P877/MA</t>
  </si>
  <si>
    <t>Dotepipifo-H886H156/MA</t>
  </si>
  <si>
    <t>Tetunimufe-H478H519/GO</t>
  </si>
  <si>
    <t>Fitoripimo-H656H553/GO</t>
  </si>
  <si>
    <t>Lomeloro-P692P589/ES</t>
  </si>
  <si>
    <t>Pavudoga-P345P867/MG</t>
  </si>
  <si>
    <t>Pemevacanu-H623H753/MA</t>
  </si>
  <si>
    <t>Gotadofepu-P685H239/ES</t>
  </si>
  <si>
    <t>Celipa-H397H893/AL</t>
  </si>
  <si>
    <t>Pacevovepe-P125H365/MA</t>
  </si>
  <si>
    <t>Fopuvi-P297P621/AL</t>
  </si>
  <si>
    <t>Tiromegu-H741H769/RJ</t>
  </si>
  <si>
    <t>Purelegete-P842P434/MG</t>
  </si>
  <si>
    <t>Rarudacu-P569H286/MG</t>
  </si>
  <si>
    <t>Dopife-P974P613/MG</t>
  </si>
  <si>
    <t>Rugepoteni-H622P377/MG</t>
  </si>
  <si>
    <t>Tacirima-H695H597/MG</t>
  </si>
  <si>
    <t>Menemuvu-H889H649/SP</t>
  </si>
  <si>
    <t>Feticocu-H558P142/GO</t>
  </si>
  <si>
    <t>Mefatare-P913P669/RJ</t>
  </si>
  <si>
    <t>Fipigi-P949H871/MA</t>
  </si>
  <si>
    <t>Dimitire-H241P754/ES</t>
  </si>
  <si>
    <t>Pigupipeta-P518P274/AL</t>
  </si>
  <si>
    <t>Riderule-H764H331/RJ</t>
  </si>
  <si>
    <t>Tilodaderi-H343P826/SP</t>
  </si>
  <si>
    <t>Fapupota-P174H233/AL</t>
  </si>
  <si>
    <t>Numupunoda-P567H617/SP</t>
  </si>
  <si>
    <t>Paramoco-H536P726/MA</t>
  </si>
  <si>
    <t>Ruravali-H773P155/ES</t>
  </si>
  <si>
    <t>Covufa-P141P481/ES</t>
  </si>
  <si>
    <t>Nupigatepu-P232P518/AL</t>
  </si>
  <si>
    <t>Dulagadanu-H232H376/MA</t>
  </si>
  <si>
    <t>Ritili-H267P579/GO</t>
  </si>
  <si>
    <t>Fogocopigo-P146H346/MA</t>
  </si>
  <si>
    <t>Renepamere-H652H711/AL</t>
  </si>
  <si>
    <t>Rucucapefi-H196P827/ES</t>
  </si>
  <si>
    <t>Tovomopene-P465H764/RJ</t>
  </si>
  <si>
    <t>Volerufu-H756H348/SP</t>
  </si>
  <si>
    <t>Tatigu-H833H489/GO</t>
  </si>
  <si>
    <t>Ratopada-P329H621/AL</t>
  </si>
  <si>
    <t>Vutofo-H398P738/MA</t>
  </si>
  <si>
    <t>Neropefiti-H812P545/GO</t>
  </si>
  <si>
    <t>Vituga-P794P978/MG</t>
  </si>
  <si>
    <t>Vopiponepa-H236P567/ES</t>
  </si>
  <si>
    <t>Putepecemo-H391H721/ES</t>
  </si>
  <si>
    <t>Lecove-H391P138/GO</t>
  </si>
  <si>
    <t>Futetagu-H973H262/SP</t>
  </si>
  <si>
    <t>Melade-H468P414/RJ</t>
  </si>
  <si>
    <t>Vitome-P343H759/MG</t>
  </si>
  <si>
    <t>Dimoni-P837H725/GO</t>
  </si>
  <si>
    <t>Mudufomi-P182P784/MG</t>
  </si>
  <si>
    <t>Tagitutego-H745H578/RJ</t>
  </si>
  <si>
    <t>Pudepe-P633H549/MA</t>
  </si>
  <si>
    <t>Rudepuri-H151P488/RJ</t>
  </si>
  <si>
    <t>Pirare-P384H158/MG</t>
  </si>
  <si>
    <t>Lapara-H429P341/RJ</t>
  </si>
  <si>
    <t>Tolonarudu-P226P511/MG</t>
  </si>
  <si>
    <t>Tonulofuro-H892H167/ES</t>
  </si>
  <si>
    <t>Nepapanigu-H427H519/MA</t>
  </si>
  <si>
    <t>Pavupitimo-H642H159/MG</t>
  </si>
  <si>
    <t>Turecoruru-P987P619/RJ</t>
  </si>
  <si>
    <t>Videgete-H516P211/MA</t>
  </si>
  <si>
    <t>Mucefopo-P513P551/MA</t>
  </si>
  <si>
    <t>Teripore-H985P951/ES</t>
  </si>
  <si>
    <t>Rupacafero-P334H215/ES</t>
  </si>
  <si>
    <t>Vilafa-P279H711/RJ</t>
  </si>
  <si>
    <t>Gutipo-H851P697/SP</t>
  </si>
  <si>
    <t>Toravi-H966H989/ES</t>
  </si>
  <si>
    <t>Cedorodeti-P264P829/MG</t>
  </si>
  <si>
    <t>Rirarupe-H387H484/ES</t>
  </si>
  <si>
    <t>Titegofomi-P163P613/MA</t>
  </si>
  <si>
    <t>Tadopa-H324P816/MG</t>
  </si>
  <si>
    <t>Ratirivo-P434P624/MG</t>
  </si>
  <si>
    <t>Panoguriru-P449P923/AL</t>
  </si>
  <si>
    <t>Pururu-H623P187/GO</t>
  </si>
  <si>
    <t>Tepanepe-H748P635/MA</t>
  </si>
  <si>
    <t>Tuloparumu-P478P963/MG</t>
  </si>
  <si>
    <t>Topogore-H886H882/SP</t>
  </si>
  <si>
    <t>Petuva-H586H485/MG</t>
  </si>
  <si>
    <t>Cemalice-P359P855/GO</t>
  </si>
  <si>
    <t>Capapi-H936P814/AL</t>
  </si>
  <si>
    <t>Porapa-H715P171/MA</t>
  </si>
  <si>
    <t>Totugamora-P543H154/GO</t>
  </si>
  <si>
    <t>Rapiga-H343P482/SP</t>
  </si>
  <si>
    <t>Fopepeti-P772H198/AL</t>
  </si>
  <si>
    <t>Miponapapu-P815P977/MA</t>
  </si>
  <si>
    <t>Femumidetu-H316H196/MG</t>
  </si>
  <si>
    <t>Vuvupageri-P312H942/AL</t>
  </si>
  <si>
    <t>Fegota-P742H469/RJ</t>
  </si>
  <si>
    <t>Vogopolona-P961P382/AL</t>
  </si>
  <si>
    <t>Lipipoteta-P266H524/MG</t>
  </si>
  <si>
    <t>Decumu-H356P747/ES</t>
  </si>
  <si>
    <t>Popacupulo-P592P198/RJ</t>
  </si>
  <si>
    <t>Merili-P699P339/MG</t>
  </si>
  <si>
    <t>Papale-P295P623/MA</t>
  </si>
  <si>
    <t>Darido-P516P163/AL</t>
  </si>
  <si>
    <t>Tapira-P286P914/MA</t>
  </si>
  <si>
    <t>Pofenepo-P672H344/AL</t>
  </si>
  <si>
    <t>Vifilupo-P691P272/MA</t>
  </si>
  <si>
    <t>Paviditupo-P264H952/SP</t>
  </si>
  <si>
    <t>Tufama-P483P875/AL</t>
  </si>
  <si>
    <t>Mitodepe-P914H951/MG</t>
  </si>
  <si>
    <t>Metafemi-H489P362/SP</t>
  </si>
  <si>
    <t>Patipunofo-P869H466/ES</t>
  </si>
  <si>
    <t>Focereli-P953H441/ES</t>
  </si>
  <si>
    <t>Repafi-H658P524/AL</t>
  </si>
  <si>
    <t>Latoratepi-P162H618/GO</t>
  </si>
  <si>
    <t>Lagudi-H464H122/RJ</t>
  </si>
  <si>
    <t>Cotetu-H118H764/SP</t>
  </si>
  <si>
    <t>Ritedupela-P174P899/MG</t>
  </si>
  <si>
    <t>Rafuvate-P139P229/SP</t>
  </si>
  <si>
    <t>Tupigama-P652H258/RJ</t>
  </si>
  <si>
    <t>Tuvarerapo-H686H281/GO</t>
  </si>
  <si>
    <t>Pinevucugi-P551P619/SP</t>
  </si>
  <si>
    <t>Tuvomatifi-P263P215/RJ</t>
  </si>
  <si>
    <t>Rucopupa-P296P983/AL</t>
  </si>
  <si>
    <t>Pomeretuge-H941H694/AL</t>
  </si>
  <si>
    <t>Vidaporepa-P598P514/ES</t>
  </si>
  <si>
    <t>Dogucu-P674P315/MG</t>
  </si>
  <si>
    <t>Tomelefo-H829P415/SP</t>
  </si>
  <si>
    <t>Tirapari-P535P863/ES</t>
  </si>
  <si>
    <t>Corerevipe-H812H399/GO</t>
  </si>
  <si>
    <t>Moroceci-P821H454/RJ</t>
  </si>
  <si>
    <t>Ropopu-P481P357/GO</t>
  </si>
  <si>
    <t>Mapepe-P699H542/RJ</t>
  </si>
  <si>
    <t>Mipopi-H277P216/AL</t>
  </si>
  <si>
    <t>Citomocinu-P623H931/MA</t>
  </si>
  <si>
    <t>Pinudoci-P454P589/MG</t>
  </si>
  <si>
    <t>Paridedi-P893P377/SP</t>
  </si>
  <si>
    <t>Cepirateru-H917P789/MA</t>
  </si>
  <si>
    <t>Meferidapo-P735H918/AL</t>
  </si>
  <si>
    <t>Rarudatu-H991P868/MA</t>
  </si>
  <si>
    <t>Gecopela-P172H232/MG</t>
  </si>
  <si>
    <t>Rugira-H469P267/RJ</t>
  </si>
  <si>
    <t>Cecodaco-P557P758/GO</t>
  </si>
  <si>
    <t>Nufelora-P369P322/GO</t>
  </si>
  <si>
    <t>Nogepi-P312H382/GO</t>
  </si>
  <si>
    <t>Tareta-P177H514/RJ</t>
  </si>
  <si>
    <t>Potirula-P857P287/SP</t>
  </si>
  <si>
    <t>Pemuti-P821P341/GO</t>
  </si>
  <si>
    <t>Corivu-P269H142/AL</t>
  </si>
  <si>
    <t>Pepepotori-H894H912/MG</t>
  </si>
  <si>
    <t>Pafigagu-H789P185/MA</t>
  </si>
  <si>
    <t>Covodu-H752H628/ES</t>
  </si>
  <si>
    <t>Vetoci-P577H891/RJ</t>
  </si>
  <si>
    <t>Fopece-P476P866/MA</t>
  </si>
  <si>
    <t>Tilove-P111P475/MG</t>
  </si>
  <si>
    <t>Poluve-P167P398/AL</t>
  </si>
  <si>
    <t>Nugutila-H787H532/MA</t>
  </si>
  <si>
    <t>Putedo-P535H661/RJ</t>
  </si>
  <si>
    <t>Lugocolodu-P991H576/MG</t>
  </si>
  <si>
    <t>Pipiromi-P655P211/MA</t>
  </si>
  <si>
    <t>Femelanapo-H163P689/SP</t>
  </si>
  <si>
    <t>Tedunalevo-H541P268/AL</t>
  </si>
  <si>
    <t>Pecunanuni-H974H915/GO</t>
  </si>
  <si>
    <t>Fagonitino-H789H461/ES</t>
  </si>
  <si>
    <t>Pemeca-H171P269/SP</t>
  </si>
  <si>
    <t>Rupadu-P946H478/MG</t>
  </si>
  <si>
    <t>Ginefupami-H894H534/MG</t>
  </si>
  <si>
    <t>Papogu-H932H746/MA</t>
  </si>
  <si>
    <t>Letame-P786H239/AL</t>
  </si>
  <si>
    <t>Recunavi-P467P367/GO</t>
  </si>
  <si>
    <t>Niririvi-P982P825/ES</t>
  </si>
  <si>
    <t>Potarere-P726H599/RJ</t>
  </si>
  <si>
    <t>Rapoma-H763P748/MA</t>
  </si>
  <si>
    <t>Nolocepeno-H982P798/AL</t>
  </si>
  <si>
    <t>Gumega-P431P646/MG</t>
  </si>
  <si>
    <t>Dopopi-H388H754/GO</t>
  </si>
  <si>
    <t>Mamomulo-P964P351/GO</t>
  </si>
  <si>
    <t>Natutupige-P449P777/SP</t>
  </si>
  <si>
    <t>Gupeminu-H486H632/ES</t>
  </si>
  <si>
    <t>Pucuci-H351P362/MG</t>
  </si>
  <si>
    <t>Fiparofofi-P463H942/AL</t>
  </si>
  <si>
    <t>Focidilamo-P757H786/GO</t>
  </si>
  <si>
    <t>Pipetace-P592P618/GO</t>
  </si>
  <si>
    <t>Lelepolo-H118H428/MG</t>
  </si>
  <si>
    <t>Mutivucira-H922P168/ES</t>
  </si>
  <si>
    <t>Megefopume-P338P522/RJ</t>
  </si>
  <si>
    <t>Vudarufime-P698H553/RJ</t>
  </si>
  <si>
    <t>Tavopo-H597P257/AL</t>
  </si>
  <si>
    <t>Tovugica-H744P717/MA</t>
  </si>
  <si>
    <t>Patoduvo-P279H586/AL</t>
  </si>
  <si>
    <t>Rovamu-H739H698/RJ</t>
  </si>
  <si>
    <t>Garire-P231H716/GO</t>
  </si>
  <si>
    <t>Pilatiti-H342P771/MA</t>
  </si>
  <si>
    <t>Gepacepu-P844H423/SP</t>
  </si>
  <si>
    <t>Pepafelu-H821H254/MG</t>
  </si>
  <si>
    <t>Nulopo-H539H453/GO</t>
  </si>
  <si>
    <t>Madatane-H556H628/RJ</t>
  </si>
  <si>
    <t>Gepoguma-H621P762/ES</t>
  </si>
  <si>
    <t>Petagipide-P985H777/MG</t>
  </si>
  <si>
    <t>Necofi-P881H541/MG</t>
  </si>
  <si>
    <t>Pefuru-H254H651/AL</t>
  </si>
  <si>
    <t>Polido-P681P674/MA</t>
  </si>
  <si>
    <t>Pepape-H548H579/MG</t>
  </si>
  <si>
    <t>Penero-P838H438/GO</t>
  </si>
  <si>
    <t>Gemunigupi-P321H585/SP</t>
  </si>
  <si>
    <t>Pinevene-P766H336/MA</t>
  </si>
  <si>
    <t>Nifagitu-H454P228/RJ</t>
  </si>
  <si>
    <t>Dunepa-P538H835/ES</t>
  </si>
  <si>
    <t>Titudaradu-P345P496/MA</t>
  </si>
  <si>
    <t>Peradadupe-H467P162/GO</t>
  </si>
  <si>
    <t>Davefo-P921H669/SP</t>
  </si>
  <si>
    <t>Rapitepe-P169H534/GO</t>
  </si>
  <si>
    <t>Recura-H414H343/ES</t>
  </si>
  <si>
    <t>Pegopamo-P631P363/MA</t>
  </si>
  <si>
    <t>Vipafa-H643H146/MG</t>
  </si>
  <si>
    <t>Vetamomoce-P598H245/MA</t>
  </si>
  <si>
    <t>Movarafugi-H559P117/GO</t>
  </si>
  <si>
    <t>Capoda-H259P161/RJ</t>
  </si>
  <si>
    <t>Rupepale-P561H778/RJ</t>
  </si>
  <si>
    <t>Nemevigifo-H551H251/MA</t>
  </si>
  <si>
    <t>Faruditale-H134H629/AL</t>
  </si>
  <si>
    <t>Vererudapa-H182H675/RJ</t>
  </si>
  <si>
    <t>Gipopocati-P916P472/GO</t>
  </si>
  <si>
    <t>Pirimo-P545P259/RJ</t>
  </si>
  <si>
    <t>Coducipa-H257P957/MG</t>
  </si>
  <si>
    <t>Gamape-H237P392/RJ</t>
  </si>
  <si>
    <t>Lepifure-H946H414/GO</t>
  </si>
  <si>
    <t>Leropo-H227H717/AL</t>
  </si>
  <si>
    <t>Vipuduta-P154H682/AL</t>
  </si>
  <si>
    <t>Demipuna-H484H561/RJ</t>
  </si>
  <si>
    <t>Feteti-P276H148/RJ</t>
  </si>
  <si>
    <t>Petumefate-H122H567/AL</t>
  </si>
  <si>
    <t>Deporaca-H153P499/GO</t>
  </si>
  <si>
    <t>Memupope-P215H152/MG</t>
  </si>
  <si>
    <t>Porupelipe-H248H538/SP</t>
  </si>
  <si>
    <t>Cipuma-P343H133/RJ</t>
  </si>
  <si>
    <t>Nipafode-H129H567/MG</t>
  </si>
  <si>
    <t>Latogogi-H114H376/AL</t>
  </si>
  <si>
    <t>Dorenegoro-H897H682/MG</t>
  </si>
  <si>
    <t>Roguvegata-H943P391/AL</t>
  </si>
  <si>
    <t>Mitoluvagi-P154P819/SP</t>
  </si>
  <si>
    <t>Paremopu-H717H696/SP</t>
  </si>
  <si>
    <t>Tetepi-P973H167/ES</t>
  </si>
  <si>
    <t>Toticigari-H384P293/MA</t>
  </si>
  <si>
    <t>Lopirapepa-P111P428/GO</t>
  </si>
  <si>
    <t>Nunicaneca-P536H846/AL</t>
  </si>
  <si>
    <t>Tocada-P369P298/GO</t>
  </si>
  <si>
    <t>Petopo-H181H773/AL</t>
  </si>
  <si>
    <t>Fetego-H329H427/SP</t>
  </si>
  <si>
    <t>Telapiru-H719P197/RJ</t>
  </si>
  <si>
    <t>Fodotomu-P789H913/ES</t>
  </si>
  <si>
    <t>Dafetopete-H213P173/SP</t>
  </si>
  <si>
    <t>Colipodi-H523P426/MG</t>
  </si>
  <si>
    <t>Pogumima-H114H237/MG</t>
  </si>
  <si>
    <t>Torififu-P994H199/SP</t>
  </si>
  <si>
    <t>Rupumira-P561P591/RJ</t>
  </si>
  <si>
    <t>Lepavicati-H745H641/ES</t>
  </si>
  <si>
    <t>Pupadeto-P451P636/RJ</t>
  </si>
  <si>
    <t>Giregope-H466H446/MA</t>
  </si>
  <si>
    <t>Dumumodato-H453P963/ES</t>
  </si>
  <si>
    <t>Cecaravepu-H199H296/RJ</t>
  </si>
  <si>
    <t>Ponedutipa-P341P419/MA</t>
  </si>
  <si>
    <t>Tugomeli-H879P987/SP</t>
  </si>
  <si>
    <t>Napolo-P175H793/AL</t>
  </si>
  <si>
    <t>Tetapa-H487P824/GO</t>
  </si>
  <si>
    <t>Vunari-H116H272/ES</t>
  </si>
  <si>
    <t>Camamu-H318H824/AL</t>
  </si>
  <si>
    <t>Lofali-H661P169/GO</t>
  </si>
  <si>
    <t>Fetaro-P122P464/GO</t>
  </si>
  <si>
    <t>Nitetu-P932P717/MA</t>
  </si>
  <si>
    <t>Dogaturo-H665H832/MG</t>
  </si>
  <si>
    <t>Melororivu-H526H419/ES</t>
  </si>
  <si>
    <t>Piratucone-P988P828/AL</t>
  </si>
  <si>
    <t>Gipecopa-P557H578/ES</t>
  </si>
  <si>
    <t>Moridi-P954H127/RJ</t>
  </si>
  <si>
    <t>Cetepepi-H541P574/RJ</t>
  </si>
  <si>
    <t>Ritucapide-H397H411/GO</t>
  </si>
  <si>
    <t>Tuvame-P775P594/AL</t>
  </si>
  <si>
    <t>Mupivunepu-P827P836/AL</t>
  </si>
  <si>
    <t>Taviropage-H522P777/ES</t>
  </si>
  <si>
    <t>Lumepeve-H616P844/AL</t>
  </si>
  <si>
    <t>Coguravafa-P478P661/MG</t>
  </si>
  <si>
    <t>Maveco-P675H175/AL</t>
  </si>
  <si>
    <t>Vepevono-P949H372/ES</t>
  </si>
  <si>
    <t>Fagepedu-P262H353/SP</t>
  </si>
  <si>
    <t>Gecerolicu-P191H763/ES</t>
  </si>
  <si>
    <t>Popufi-P112H264/SP</t>
  </si>
  <si>
    <t>Ripavedofe-H137H699/ES</t>
  </si>
  <si>
    <t>Piratolaru-P514P164/MA</t>
  </si>
  <si>
    <t>Devefidivo-H255H153/MG</t>
  </si>
  <si>
    <t>Fapuragi-H487H463/MA</t>
  </si>
  <si>
    <t>Piruvacutu-P568H488/GO</t>
  </si>
  <si>
    <t>Pamapaluca-H394P546/SP</t>
  </si>
  <si>
    <t>Rumonorivu-P287H428/AL</t>
  </si>
  <si>
    <t>Voroce-P198P264/SP</t>
  </si>
  <si>
    <t>Cofepipa-P625P483/GO</t>
  </si>
  <si>
    <t>Rulupali-P436H682/AL</t>
  </si>
  <si>
    <t>Pilipevudo-H798H463/ES</t>
  </si>
  <si>
    <t>Pufoda-H496H924/MA</t>
  </si>
  <si>
    <t>Devadetu-H865P725/AL</t>
  </si>
  <si>
    <t>Rutiruru-P116P968/SP</t>
  </si>
  <si>
    <t>Mufape-H942P584/SP</t>
  </si>
  <si>
    <t>Dacuculatu-P971H971/ES</t>
  </si>
  <si>
    <t>Tutipitaro-H622P841/RJ</t>
  </si>
  <si>
    <t>Fenadidu-H682P969/SP</t>
  </si>
  <si>
    <t>Micivanudi-H917P816/MA</t>
  </si>
  <si>
    <t>Revitepeva-P594H515/MG</t>
  </si>
  <si>
    <t>Tetovimi-H354H418/MG</t>
  </si>
  <si>
    <t>Povedefu-P383H632/MA</t>
  </si>
  <si>
    <t>Mifufa-H525H487/AL</t>
  </si>
  <si>
    <t>Tarerupofo-P221P471/ES</t>
  </si>
  <si>
    <t>Piripovu-H543H834/MA</t>
  </si>
  <si>
    <t>Mulava-P511P715/GO</t>
  </si>
  <si>
    <t>Gidupa-H329P583/RJ</t>
  </si>
  <si>
    <t>Nuparufacu-P622H499/ES</t>
  </si>
  <si>
    <t>Digugoleti-H126P716/SP</t>
  </si>
  <si>
    <t>Vogupumo-P854H188/AL</t>
  </si>
  <si>
    <t>Miporiti-H954P638/ES</t>
  </si>
  <si>
    <t>Nifirivita-P153H977/SP</t>
  </si>
  <si>
    <t>Vavecari-P996P577/AL</t>
  </si>
  <si>
    <t>Vovivi-P788H647/SP</t>
  </si>
  <si>
    <t>Nilinipiru-P153P638/AL</t>
  </si>
  <si>
    <t>Pacatoco-P849H681/AL</t>
  </si>
  <si>
    <t>Dovuve-H931H162/MA</t>
  </si>
  <si>
    <t>Vidipu-H298P268/GO</t>
  </si>
  <si>
    <t>Rigoripa-H715H628/GO</t>
  </si>
  <si>
    <t>Cufepa-H569H663/SP</t>
  </si>
  <si>
    <t>Golatafupa-H698P813/MA</t>
  </si>
  <si>
    <t>Modapapole-H449P211/AL</t>
  </si>
  <si>
    <t>Lugumudo-P737P623/MG</t>
  </si>
  <si>
    <t>Cogorigere-P844P851/ES</t>
  </si>
  <si>
    <t>Locide-P623P698/GO</t>
  </si>
  <si>
    <t>Toniromu-H931P917/SP</t>
  </si>
  <si>
    <t>Podumo-H713H422/SP</t>
  </si>
  <si>
    <t>Cafotufo-P439P446/RJ</t>
  </si>
  <si>
    <t>Cunate-P321P989/SP</t>
  </si>
  <si>
    <t>Larepe-H233P314/ES</t>
  </si>
  <si>
    <t>Vimevipa-H388P351/SP</t>
  </si>
  <si>
    <t>Davicu-P844P563/MA</t>
  </si>
  <si>
    <t>Potudeni-H784H123/RJ</t>
  </si>
  <si>
    <t>Ratuto-H569P133/GO</t>
  </si>
  <si>
    <t>Pidaveturo-H541P745/AL</t>
  </si>
  <si>
    <t>Retinu-P169P521/MG</t>
  </si>
  <si>
    <t>Dugutalifo-H956P889/ES</t>
  </si>
  <si>
    <t>Papilera-P655P386/AL</t>
  </si>
  <si>
    <t>Nalecaru-P689P583/RJ</t>
  </si>
  <si>
    <t>Radivevu-P967P371/GO</t>
  </si>
  <si>
    <t>Cavapodeni-P658P868/AL</t>
  </si>
  <si>
    <t>Popunata-H388H333/MA</t>
  </si>
  <si>
    <t>Firacato-H461P667/RJ</t>
  </si>
  <si>
    <t>Pacitepa-H361H588/SP</t>
  </si>
  <si>
    <t>Celifofa-H338P635/AL</t>
  </si>
  <si>
    <t>Tepivu-P356H281/GO</t>
  </si>
  <si>
    <t>Rerafigilu-P272H951/SP</t>
  </si>
  <si>
    <t>Varagadede-H122H137/ES</t>
  </si>
  <si>
    <t>Lufara-P882P816/ES</t>
  </si>
  <si>
    <t>Rucomofu-H535P279/GO</t>
  </si>
  <si>
    <t>Lirapori-P314P552/SP</t>
  </si>
  <si>
    <t>Gilulura-H879H181/MA</t>
  </si>
  <si>
    <t>Venoru-P569P844/GO</t>
  </si>
  <si>
    <t>Varifitimi-H542P473/MA</t>
  </si>
  <si>
    <t>Rupanuliri-P441P139/GO</t>
  </si>
  <si>
    <t>Retafurufu-H275P682/MG</t>
  </si>
  <si>
    <t>Racopo-P525P673/RJ</t>
  </si>
  <si>
    <t>Vogeta-P161H629/RJ</t>
  </si>
  <si>
    <t>Davata-H126P278/SP</t>
  </si>
  <si>
    <t>Pupere-P336P841/MA</t>
  </si>
  <si>
    <t>Culopapi-P847P137/ES</t>
  </si>
  <si>
    <t>Ripatopu-P632P728/MA</t>
  </si>
  <si>
    <t>Parigupava-H469H647/ES</t>
  </si>
  <si>
    <t>Nimame-P661P727/RJ</t>
  </si>
  <si>
    <t>Lonara-P123H191/MA</t>
  </si>
  <si>
    <t>Letevi-H812H145/RJ</t>
  </si>
  <si>
    <t>Rotatu-H537P989/SP</t>
  </si>
  <si>
    <t>Gocari-P565P881/AL</t>
  </si>
  <si>
    <t>Rirode-P958P721/RJ</t>
  </si>
  <si>
    <t>Dumevenipe-H958P874/GO</t>
  </si>
  <si>
    <t>Vaficinu-H849P841/RJ</t>
  </si>
  <si>
    <t>Fulapu-H978P212/AL</t>
  </si>
  <si>
    <t>Ravitomopi-H624H612/ES</t>
  </si>
  <si>
    <t>Temiri-H121P377/SP</t>
  </si>
  <si>
    <t>Nudipi-P226P565/GO</t>
  </si>
  <si>
    <t>Nidupuru-P269P235/SP</t>
  </si>
  <si>
    <t>Faparara-P778H148/RJ</t>
  </si>
  <si>
    <t>Fapucitadi-P178P467/ES</t>
  </si>
  <si>
    <t>Tecaripi-P816P947/MG</t>
  </si>
  <si>
    <t>Roretanupe-P799H443/SP</t>
  </si>
  <si>
    <t>Delulo-H443H384/ES</t>
  </si>
  <si>
    <t>Pugonatepo-P357P358/SP</t>
  </si>
  <si>
    <t>Docitipuno-H171H831/AL</t>
  </si>
  <si>
    <t>Carafopiro-H995H745/MG</t>
  </si>
  <si>
    <t>Pamepa-P659P963/ES</t>
  </si>
  <si>
    <t>Ricurapo-H776P778/AL</t>
  </si>
  <si>
    <t>Popela-H366H864/MA</t>
  </si>
  <si>
    <t>Dipotupe-H349P335/MA</t>
  </si>
  <si>
    <t>Padogugiro-H752P914/GO</t>
  </si>
  <si>
    <t>Totapamo-H165H857/MG</t>
  </si>
  <si>
    <t>Pogodiru-P886H581/MG</t>
  </si>
  <si>
    <t>Cececupato-H845P575/MG</t>
  </si>
  <si>
    <t>Pogagora-P537H546/MG</t>
  </si>
  <si>
    <t>Ralipa-P821H722/ES</t>
  </si>
  <si>
    <t>Nenaticuvi-H317H318/MA</t>
  </si>
  <si>
    <t>Tudero-H926P739/SP</t>
  </si>
  <si>
    <t>Futitano-P785P334/RJ</t>
  </si>
  <si>
    <t>Finuno-H166P831/MG</t>
  </si>
  <si>
    <t>Cepimefe-P442P856/MA</t>
  </si>
  <si>
    <t>Palata-H445H963/MA</t>
  </si>
  <si>
    <t>Ripiretori-H349H361/MG</t>
  </si>
  <si>
    <t>Parotuvine-H266P413/RJ</t>
  </si>
  <si>
    <t>Pumurepa-P213P376/AL</t>
  </si>
  <si>
    <t>Ronopudapo-P521H667/ES</t>
  </si>
  <si>
    <t>Muvite-H455H563/ES</t>
  </si>
  <si>
    <t>Vetala-H775P499/AL</t>
  </si>
  <si>
    <t>Lalegoru-H143P894/MA</t>
  </si>
  <si>
    <t>Ruruli-H118H353/SP</t>
  </si>
  <si>
    <t>Nuvipu-P519P522/MG</t>
  </si>
  <si>
    <t>Fugecoco-H486P462/MA</t>
  </si>
  <si>
    <t>Diguvo-H851P298/MA</t>
  </si>
  <si>
    <t>Miguto-H376H451/RJ</t>
  </si>
  <si>
    <t>Viputopopu-H415H252/AL</t>
  </si>
  <si>
    <t>Ganuvagi-H627P786/MA</t>
  </si>
  <si>
    <t>Mirafapo-H495H159/MG</t>
  </si>
  <si>
    <t>Vecigidone-H588H741/GO</t>
  </si>
  <si>
    <t>Numeporare-H489H934/AL</t>
  </si>
  <si>
    <t>Negaraceru-P573P542/ES</t>
  </si>
  <si>
    <t>Davidota-H828H355/MG</t>
  </si>
  <si>
    <t>Lecita-P636P257/GO</t>
  </si>
  <si>
    <t>Vorotepidu-H616H673/AL</t>
  </si>
  <si>
    <t>Veluporeci-P917P849/ES</t>
  </si>
  <si>
    <t>Tufope-P252H629/ES</t>
  </si>
  <si>
    <t>Vomari-P157H825/AL</t>
  </si>
  <si>
    <t>Dederulu-H278P947/ES</t>
  </si>
  <si>
    <t>Rucalidepe-P726H553/ES</t>
  </si>
  <si>
    <t>Pidonuga-H346H769/MA</t>
  </si>
  <si>
    <t>Fapuvi-H878P295/GO</t>
  </si>
  <si>
    <t>Murufeperi-P541H889/MG</t>
  </si>
  <si>
    <t>Ropapumu-P445P566/ES</t>
  </si>
  <si>
    <t>Nodemutumi-P958H858/MA</t>
  </si>
  <si>
    <t>Rurutu-P382H552/ES</t>
  </si>
  <si>
    <t>Redonu-H812H424/GO</t>
  </si>
  <si>
    <t>Lugeno-H968H118/AL</t>
  </si>
  <si>
    <t>Tifugove-P566H418/SP</t>
  </si>
  <si>
    <t>Porora-H818H385/AL</t>
  </si>
  <si>
    <t>Mafegamopo-P261P142/ES</t>
  </si>
  <si>
    <t>Pemaripote-H267P451/MG</t>
  </si>
  <si>
    <t>Decari-P953P247/SP</t>
  </si>
  <si>
    <t>Tulicecari-H995H211/RJ</t>
  </si>
  <si>
    <t>Lipoco-P167P678/GO</t>
  </si>
  <si>
    <t>Torevoceco-H896H295/AL</t>
  </si>
  <si>
    <t>Pureta-H284H427/GO</t>
  </si>
  <si>
    <t>Parerode-P382H188/RJ</t>
  </si>
  <si>
    <t>Totuleriri-P361P931/MA</t>
  </si>
  <si>
    <t>Pitecame-P619H359/ES</t>
  </si>
  <si>
    <t>Popetu-H566P687/ES</t>
  </si>
  <si>
    <t>Ranuvoru-P838P999/SP</t>
  </si>
  <si>
    <t>Ridicate-H634H655/AL</t>
  </si>
  <si>
    <t>Rogereteta-H244H687/ES</t>
  </si>
  <si>
    <t>Piruraciro-P866P597/GO</t>
  </si>
  <si>
    <t>Padode-H155H847/SP</t>
  </si>
  <si>
    <t>Pofari-H555P172/ES</t>
  </si>
  <si>
    <t>Ratipurivu-P354P445/RJ</t>
  </si>
  <si>
    <t>Mepore-H393H396/GO</t>
  </si>
  <si>
    <t>Lipapicapu-H169H399/AL</t>
  </si>
  <si>
    <t>Votolureto-H799P273/GO</t>
  </si>
  <si>
    <t>Vurutafave-P841P154/MG</t>
  </si>
  <si>
    <t>Nifupigi-P442P556/MA</t>
  </si>
  <si>
    <t>Lecalarace-H255H568/ES</t>
  </si>
  <si>
    <t>Pivugodutu-H953H947/ES</t>
  </si>
  <si>
    <t>Mifica-H895H343/ES</t>
  </si>
  <si>
    <t>Natiparuci-P834P716/RJ</t>
  </si>
  <si>
    <t>Vopave-P821H841/AL</t>
  </si>
  <si>
    <t>Viludode-H591P122/MG</t>
  </si>
  <si>
    <t>Mocopi-P224P377/AL</t>
  </si>
  <si>
    <t>Copepu-H375H546/MG</t>
  </si>
  <si>
    <t>Rofiludimo-P869H991/GO</t>
  </si>
  <si>
    <t>Nifadelupi-H788H339/ES</t>
  </si>
  <si>
    <t>Denufo-H278H465/GO</t>
  </si>
  <si>
    <t>Regevori-H177P477/MA</t>
  </si>
  <si>
    <t>Cirovo-H114P791/MA</t>
  </si>
  <si>
    <t>Raveti-H521H414/GO</t>
  </si>
  <si>
    <t>Romogute-H792H998/GO</t>
  </si>
  <si>
    <t>Lepicenida-P991P887/MG</t>
  </si>
  <si>
    <t>Relodudira-P215H928/RJ</t>
  </si>
  <si>
    <t>Pecicolovi-P181P198/MA</t>
  </si>
  <si>
    <t>Nalole-H683P383/MA</t>
  </si>
  <si>
    <t>Tavepuna-P368H371/AL</t>
  </si>
  <si>
    <t>Fupeva-H524H998/RJ</t>
  </si>
  <si>
    <t>Rorife-P274H977/SP</t>
  </si>
  <si>
    <t>Pupofemi-H543P849/MA</t>
  </si>
  <si>
    <t>Dipodaripe-H486H916/SP</t>
  </si>
  <si>
    <t>Mirapomati-H261P128/ES</t>
  </si>
  <si>
    <t>Cifude-P352H777/MG</t>
  </si>
  <si>
    <t>Cogate-H253H598/RJ</t>
  </si>
  <si>
    <t>Rutamafovi-P555H614/MA</t>
  </si>
  <si>
    <t>Pinada-P995H423/AL</t>
  </si>
  <si>
    <t>Pacamuce-P147H481/MA</t>
  </si>
  <si>
    <t>Vovopa-H667H962/MA</t>
  </si>
  <si>
    <t>Vutuve-P847P285/GO</t>
  </si>
  <si>
    <t>Remavilame-P758P848/ES</t>
  </si>
  <si>
    <t>Rotupa-H312P762/AL</t>
  </si>
  <si>
    <t>Giditepo-P522H295/ES</t>
  </si>
  <si>
    <t>Fucocenuvo-H616P493/MA</t>
  </si>
  <si>
    <t>Tepimopoti-H232P355/RJ</t>
  </si>
  <si>
    <t>Letanaro-P599P292/AL</t>
  </si>
  <si>
    <t>Medanolu-P528H535/MG</t>
  </si>
  <si>
    <t>Lapuroci-H856P624/SP</t>
  </si>
  <si>
    <t>Tefalo-H486P656/GO</t>
  </si>
  <si>
    <t>Pidoni-H823H685/SP</t>
  </si>
  <si>
    <t>Rodumi-H899H329/MG</t>
  </si>
  <si>
    <t>Darepitono-P442H659/AL</t>
  </si>
  <si>
    <t>Cademilita-P891H222/SP</t>
  </si>
  <si>
    <t>Dopapunu-H952P575/SP</t>
  </si>
  <si>
    <t>Pomipapitu-H634H743/SP</t>
  </si>
  <si>
    <t>Vocicuvo-H254H637/MA</t>
  </si>
  <si>
    <t>Dufudoru-P128H953/MA</t>
  </si>
  <si>
    <t>Fevipi-P297H563/ES</t>
  </si>
  <si>
    <t>Tupupitu-H754H737/GO</t>
  </si>
  <si>
    <t>Donuvorite-P835P236/MG</t>
  </si>
  <si>
    <t>Turureguru-P214H687/SP</t>
  </si>
  <si>
    <t>Nupireto-P611P418/GO</t>
  </si>
  <si>
    <t>Lurage-P315P332/GO</t>
  </si>
  <si>
    <t>Palelipa-P784H281/SP</t>
  </si>
  <si>
    <t>Todolirava-P597P595/ES</t>
  </si>
  <si>
    <t>Neninugo-P786H652/GO</t>
  </si>
  <si>
    <t>Tacugepape-H222H434/RJ</t>
  </si>
  <si>
    <t>Fucopemo-P468P843/GO</t>
  </si>
  <si>
    <t>Teletu-H593P938/ES</t>
  </si>
  <si>
    <t>Fodomupoco-P447H269/ES</t>
  </si>
  <si>
    <t>Denapupu-H922P983/ES</t>
  </si>
  <si>
    <t>Pomanume-P895H745/SP</t>
  </si>
  <si>
    <t>Papegu-H331H641/SP</t>
  </si>
  <si>
    <t>Vutane-H942P165/MA</t>
  </si>
  <si>
    <t>Patunu-P317P386/MG</t>
  </si>
  <si>
    <t>Domudonu-H272H276/MG</t>
  </si>
  <si>
    <t>Fitodepoca-P895P756/GO</t>
  </si>
  <si>
    <t>Rocudetigu-H727P446/MA</t>
  </si>
  <si>
    <t>Fefacepa-P265H873/RJ</t>
  </si>
  <si>
    <t>Fapemi-P992H374/ES</t>
  </si>
  <si>
    <t>Coporotare-P675P712/ES</t>
  </si>
  <si>
    <t>Turote-H548P492/ES</t>
  </si>
  <si>
    <t>Dolelepo-H158P516/RJ</t>
  </si>
  <si>
    <t>Rutocaguda-H956H675/GO</t>
  </si>
  <si>
    <t>Togefopudi-H774P565/MA</t>
  </si>
  <si>
    <t>Ridodi-H771H734/RJ</t>
  </si>
  <si>
    <t>Geracegilu-H925P723/MG</t>
  </si>
  <si>
    <t>Totopo-H725P374/SP</t>
  </si>
  <si>
    <t>Lamimepu-P238P124/AL</t>
  </si>
  <si>
    <t>Dodulupi-P351H458/ES</t>
  </si>
  <si>
    <t>Tovego-P453H354/AL</t>
  </si>
  <si>
    <t>Papagefo-P745H219/AL</t>
  </si>
  <si>
    <t>Duremi-P553H296/ES</t>
  </si>
  <si>
    <t>Tolerepogu-H254H418/AL</t>
  </si>
  <si>
    <t>Pederulicu-H793P999/AL</t>
  </si>
  <si>
    <t>Repipepa-P898H726/AL</t>
  </si>
  <si>
    <t>Legomonore-P969H488/MG</t>
  </si>
  <si>
    <t>Gatulami-P814P734/ES</t>
  </si>
  <si>
    <t>Tipivimu-P822P131/MG</t>
  </si>
  <si>
    <t>Pipafene-H368H282/GO</t>
  </si>
  <si>
    <t>Rutote-H251H356/GO</t>
  </si>
  <si>
    <t>Toluvavima-P142H222/RJ</t>
  </si>
  <si>
    <t>Pipupacipe-H189H749/MA</t>
  </si>
  <si>
    <t>Gutema-H759H993/GO</t>
  </si>
  <si>
    <t>Tadefe-P964P744/SP</t>
  </si>
  <si>
    <t>Doperugeca-H983P292/MG</t>
  </si>
  <si>
    <t>Favidufere-H484H675/GO</t>
  </si>
  <si>
    <t>Vitale-H566H456/GO</t>
  </si>
  <si>
    <t>Pipapo-H286H897/MG</t>
  </si>
  <si>
    <t>Gicata-H826H549/AL</t>
  </si>
  <si>
    <t>Ramitume-P559H358/MA</t>
  </si>
  <si>
    <t>Natutufote-P141P554/GO</t>
  </si>
  <si>
    <t>Gemomufuta-H348P175/MG</t>
  </si>
  <si>
    <t>Rofeda-P993P662/ES</t>
  </si>
  <si>
    <t>Deferino-P865H953/SP</t>
  </si>
  <si>
    <t>Tafoperu-P721H698/ES</t>
  </si>
  <si>
    <t>Dolepivero-H369P383/RJ</t>
  </si>
  <si>
    <t>Topicepe-H944P794/SP</t>
  </si>
  <si>
    <t>Vogede-H954P336/RJ</t>
  </si>
  <si>
    <t>Mavupegula-H171H533/MA</t>
  </si>
  <si>
    <t>Paruci-H463H545/GO</t>
  </si>
  <si>
    <t>Fopipanupi-P227H823/ES</t>
  </si>
  <si>
    <t>Peruturo-H466H829/MG</t>
  </si>
  <si>
    <t>Tonafudodo-H464P262/MA</t>
  </si>
  <si>
    <t>Vedipufuci-P992P286/GO</t>
  </si>
  <si>
    <t>Fogaroru-P622H432/SP</t>
  </si>
  <si>
    <t>Tefepeta-P427H392/GO</t>
  </si>
  <si>
    <t>Tomulu-P245H995/GO</t>
  </si>
  <si>
    <t>Pofene-H381H542/RJ</t>
  </si>
  <si>
    <t>Mafora-P945P587/MA</t>
  </si>
  <si>
    <t>Cagipa-H692H416/GO</t>
  </si>
  <si>
    <t>Rataripupu-H439H611/MA</t>
  </si>
  <si>
    <t>Gemefa-H686H447/SP</t>
  </si>
  <si>
    <t>Paluruvepe-P384P394/RJ</t>
  </si>
  <si>
    <t>Mucivire-P111P392/ES</t>
  </si>
  <si>
    <t>Turopufu-H266P977/GO</t>
  </si>
  <si>
    <t>Deranofipa-H162P342/SP</t>
  </si>
  <si>
    <t>Pofivipadi-P929H672/AL</t>
  </si>
  <si>
    <t>Pirupori-P522H225/GO</t>
  </si>
  <si>
    <t>Guparove-P723H496/RJ</t>
  </si>
  <si>
    <t>Netugi-H355H685/RJ</t>
  </si>
  <si>
    <t>Putepade-P212H453/MG</t>
  </si>
  <si>
    <t>Divopufole-P625P987/ES</t>
  </si>
  <si>
    <t>Tiporitire-P149H657/GO</t>
  </si>
  <si>
    <t>Minino-H823H157/AL</t>
  </si>
  <si>
    <t>Padane-H981H522/ES</t>
  </si>
  <si>
    <t>Rotipu-P794P757/GO</t>
  </si>
  <si>
    <t>Tetademo-P637P949/AL</t>
  </si>
  <si>
    <t>Rigimota-H817P899/RJ</t>
  </si>
  <si>
    <t>Gapocidedi-H125P715/MG</t>
  </si>
  <si>
    <t>Fetena-H833P964/ES</t>
  </si>
  <si>
    <t>Repada-P177H713/AL</t>
  </si>
  <si>
    <t>Pitecu-P791P946/GO</t>
  </si>
  <si>
    <t>Dicirera-H762P763/ES</t>
  </si>
  <si>
    <t>Tagutadi-H749H519/MG</t>
  </si>
  <si>
    <t>Cedorimana-H447P838/ES</t>
  </si>
  <si>
    <t>Dopirufanu-H837P467/SP</t>
  </si>
  <si>
    <t>Volegu-P435H541/ES</t>
  </si>
  <si>
    <t>Cigipecu-H547H165/AL</t>
  </si>
  <si>
    <t>Topatopu-H716P672/MG</t>
  </si>
  <si>
    <t>Vonipucu-H662P914/SP</t>
  </si>
  <si>
    <t>Cimetuli-P531P354/ES</t>
  </si>
  <si>
    <t>Vorava-H475H829/MA</t>
  </si>
  <si>
    <t>Vocotapera-H219H128/ES</t>
  </si>
  <si>
    <t>Tutepeni-P328H217/MG</t>
  </si>
  <si>
    <t>Dufefurapu-H233P441/ES</t>
  </si>
  <si>
    <t>Delinige-P314H486/MA</t>
  </si>
  <si>
    <t>Gacopilodu-P154H668/GO</t>
  </si>
  <si>
    <t>Tafata-P355P544/SP</t>
  </si>
  <si>
    <t>Nudanefeca-H422P166/RJ</t>
  </si>
  <si>
    <t>Vapetu-H658P127/ES</t>
  </si>
  <si>
    <t>Dolere-H578H215/RJ</t>
  </si>
  <si>
    <t>Topuga-H382H246/GO</t>
  </si>
  <si>
    <t>Rocivatume-P871P946/MA</t>
  </si>
  <si>
    <t>Depareno-H473H788/ES</t>
  </si>
  <si>
    <t>Romutiporu-P964H636/MG</t>
  </si>
  <si>
    <t>Padunu-P749P821/ES</t>
  </si>
  <si>
    <t>Luvutonefo-H663P764/AL</t>
  </si>
  <si>
    <t>Cugara-H958H483/MG</t>
  </si>
  <si>
    <t>Pevuva-H653H654/MG</t>
  </si>
  <si>
    <t>Fovuvepotu-H352H248/SP</t>
  </si>
  <si>
    <t>Ticelutafi-P591H316/SP</t>
  </si>
  <si>
    <t>Pifarimu-P198P537/ES</t>
  </si>
  <si>
    <t>Patarono-P439H177/MA</t>
  </si>
  <si>
    <t>Piperore-P341P122/ES</t>
  </si>
  <si>
    <t>Rivepatide-H231H691/AL</t>
  </si>
  <si>
    <t>Porarilume-P162P898/AL</t>
  </si>
  <si>
    <t>Togari-H549H789/AL</t>
  </si>
  <si>
    <t>Fumefo-P335P782/AL</t>
  </si>
  <si>
    <t>Conopenugo-H126P674/MA</t>
  </si>
  <si>
    <t>Pururipoto-H645P484/SP</t>
  </si>
  <si>
    <t>Tenecu-H563P651/AL</t>
  </si>
  <si>
    <t>Degavagi-H855H456/GO</t>
  </si>
  <si>
    <t>Rocugipidi-P475H524/ES</t>
  </si>
  <si>
    <t>Nopateto-H265P127/GO</t>
  </si>
  <si>
    <t>Davepi-H391P582/MG</t>
  </si>
  <si>
    <t>Puvigenovi-H373P684/ES</t>
  </si>
  <si>
    <t>Dilurage-H168H737/GO</t>
  </si>
  <si>
    <t>Ponegifape-P962P938/AL</t>
  </si>
  <si>
    <t>Fomucatofi-H758H955/AL</t>
  </si>
  <si>
    <t>Necuma-P199H414/ES</t>
  </si>
  <si>
    <t>Gapapi-H276H225/ES</t>
  </si>
  <si>
    <t>Vapopuvata-H842P289/GO</t>
  </si>
  <si>
    <t>Rigire-P587H231/SP</t>
  </si>
  <si>
    <t>Dunape-H143H222/AL</t>
  </si>
  <si>
    <t>Nuritolepo-H864H312/RJ</t>
  </si>
  <si>
    <t>Refopu-P614H282/MA</t>
  </si>
  <si>
    <t>Rupone-P379H933/AL</t>
  </si>
  <si>
    <t>Nopumodago-H647P375/GO</t>
  </si>
  <si>
    <t>Tupiga-H634H756/RJ</t>
  </si>
  <si>
    <t>Palelemo-P832P234/GO</t>
  </si>
  <si>
    <t>Tipepero-H972P965/MG</t>
  </si>
  <si>
    <t>Podomi-P195H969/MA</t>
  </si>
  <si>
    <t>Paneritaru-P521H992/SP</t>
  </si>
  <si>
    <t>Rimenu-H638P179/AL</t>
  </si>
  <si>
    <t>Fovemodite-P829P491/MG</t>
  </si>
  <si>
    <t>Tunetire-H745P114/MA</t>
  </si>
  <si>
    <t>Mutede-H449P926/MA</t>
  </si>
  <si>
    <t>Gilorevi-H471H144/MG</t>
  </si>
  <si>
    <t>Tepocavipu-P644H816/ES</t>
  </si>
  <si>
    <t>Dodeme-P584H851/ES</t>
  </si>
  <si>
    <t>Ginuloreto-P366H918/MA</t>
  </si>
  <si>
    <t>Rafotono-H248P425/ES</t>
  </si>
  <si>
    <t>Rilaputu-P623P251/ES</t>
  </si>
  <si>
    <t>Riretavuve-H678H478/SP</t>
  </si>
  <si>
    <t>Poderifa-H124P759/MG</t>
  </si>
  <si>
    <t>Rarinetoro-H172P866/AL</t>
  </si>
  <si>
    <t>Geputuga-H489H134/ES</t>
  </si>
  <si>
    <t>Rodononico-P278H964/SP</t>
  </si>
  <si>
    <t>Fopilama-H469P486/MG</t>
  </si>
  <si>
    <t>Ciponuperi-H553P499/RJ</t>
  </si>
  <si>
    <t>Rivonu-P451H347/MA</t>
  </si>
  <si>
    <t>Nipapi-H475P947/GO</t>
  </si>
  <si>
    <t>Dedarunage-H897H766/GO</t>
  </si>
  <si>
    <t>Digatolupe-H767H758/AL</t>
  </si>
  <si>
    <t>Fanadaticu-P447P415/AL</t>
  </si>
  <si>
    <t>Rilidafe-P486P879/MA</t>
  </si>
  <si>
    <t>Pifavu-P927H173/AL</t>
  </si>
  <si>
    <t>Ritaperuno-H949P319/GO</t>
  </si>
  <si>
    <t>Nanalatu-P888H478/MG</t>
  </si>
  <si>
    <t>Diteteteto-P188H516/ES</t>
  </si>
  <si>
    <t>Tulirona-P544P677/SP</t>
  </si>
  <si>
    <t>Revugefemu-H884H715/MG</t>
  </si>
  <si>
    <t>Giroto-H579H719/MG</t>
  </si>
  <si>
    <t>Vunamote-P697H123/MG</t>
  </si>
  <si>
    <t>Rudiruna-P336H243/RJ</t>
  </si>
  <si>
    <t>Lotapece-H626P628/GO</t>
  </si>
  <si>
    <t>Rutore-H527P991/GO</t>
  </si>
  <si>
    <t>Feritito-H139P678/AL</t>
  </si>
  <si>
    <t>Vepaloro-P231P927/RJ</t>
  </si>
  <si>
    <t>Pavare-P578P924/RJ</t>
  </si>
  <si>
    <t>Fopure-P598H665/SP</t>
  </si>
  <si>
    <t>Pevola-H679H378/RJ</t>
  </si>
  <si>
    <t>Ravapote-H162P666/MG</t>
  </si>
  <si>
    <t>Metaganacu-H627H271/MG</t>
  </si>
  <si>
    <t>Patupogi-P552P954/MA</t>
  </si>
  <si>
    <t>Ceduvetima-P229P732/AL</t>
  </si>
  <si>
    <t>Cifudupo-P731H916/GO</t>
  </si>
  <si>
    <t>Ficadidote-H189H837/MG</t>
  </si>
  <si>
    <t>Ditipefade-H299H486/MA</t>
  </si>
  <si>
    <t>Fudori-P462P933/ES</t>
  </si>
  <si>
    <t>Tipomifore-H554H462/RJ</t>
  </si>
  <si>
    <t>Talaro-H288P451/RJ</t>
  </si>
  <si>
    <t>Murelerupe-P229H671/MA</t>
  </si>
  <si>
    <t>Foradamu-H462H755/RJ</t>
  </si>
  <si>
    <t>Gupati-P161P343/SP</t>
  </si>
  <si>
    <t>Fetivetepa-P471P929/AL</t>
  </si>
  <si>
    <t>Garape-H117P311/MG</t>
  </si>
  <si>
    <t>Lodafiti-H946P454/RJ</t>
  </si>
  <si>
    <t>Fevedimeci-H862H654/SP</t>
  </si>
  <si>
    <t>Lepeci-P238H944/MG</t>
  </si>
  <si>
    <t>Capepa-P693P166/MA</t>
  </si>
  <si>
    <t>Rimadupive-P555P438/ES</t>
  </si>
  <si>
    <t>Vinivomeru-P436P729/AL</t>
  </si>
  <si>
    <t>Leramape-H164P573/RJ</t>
  </si>
  <si>
    <t>Tugifemepo-H725H432/AL</t>
  </si>
  <si>
    <t>Dopacupu-P487P455/RJ</t>
  </si>
  <si>
    <t>Dagara-H821H871/SP</t>
  </si>
  <si>
    <t>Gufopu-P296H645/MA</t>
  </si>
  <si>
    <t>Nolerumere-P224P535/ES</t>
  </si>
  <si>
    <t>Faparile-H933H649/MG</t>
  </si>
  <si>
    <t>Todarito-P865P645/RJ</t>
  </si>
  <si>
    <t>Vuvarorera-P364P669/RJ</t>
  </si>
  <si>
    <t>Decimugico-H946H846/MA</t>
  </si>
  <si>
    <t>Dipapipige-P546H495/GO</t>
  </si>
  <si>
    <t>Togupitovo-P887P587/MG</t>
  </si>
  <si>
    <t>Rapurade-H571P511/GO</t>
  </si>
  <si>
    <t>Defelogo-P185P343/MA</t>
  </si>
  <si>
    <t>Galarilo-H193H665/ES</t>
  </si>
  <si>
    <t>Panilo-H523H796/RJ</t>
  </si>
  <si>
    <t>Rafolapare-H954H616/ES</t>
  </si>
  <si>
    <t>Vepacopeco-P773H617/MA</t>
  </si>
  <si>
    <t>Caderipu-H116H685/MA</t>
  </si>
  <si>
    <t>Farilare-H281H519/SP</t>
  </si>
  <si>
    <t>Vipugepi-H493H797/ES</t>
  </si>
  <si>
    <t>Rurule-H873H985/MG</t>
  </si>
  <si>
    <t>Lopatife-P598H446/AL</t>
  </si>
  <si>
    <t>Locupapari-H541H673/GO</t>
  </si>
  <si>
    <t>Muludo-P556H428/MA</t>
  </si>
  <si>
    <t>Megogu-P815H636/GO</t>
  </si>
  <si>
    <t>Guratato-P567H778/AL</t>
  </si>
  <si>
    <t>Timodorovo-P376H521/AL</t>
  </si>
  <si>
    <t>Docudo-H497H747/AL</t>
  </si>
  <si>
    <t>Denefivepi-H881H181/SP</t>
  </si>
  <si>
    <t>Fapicodoro-H359P522/SP</t>
  </si>
  <si>
    <t>Lotuni-H512H418/SP</t>
  </si>
  <si>
    <t>Gedatoviri-H566H376/MG</t>
  </si>
  <si>
    <t>Mivulopu-H779H528/ES</t>
  </si>
  <si>
    <t>Vutepupipi-H979P465/SP</t>
  </si>
  <si>
    <t>Podudanuta-P492H962/AL</t>
  </si>
  <si>
    <t>Napolu-H213H542/AL</t>
  </si>
  <si>
    <t>Votici-P845H428/SP</t>
  </si>
  <si>
    <t>Fifete-P824P879/GO</t>
  </si>
  <si>
    <t>Rinuneceve-P917H585/RJ</t>
  </si>
  <si>
    <t>Pafurefa-H637H523/ES</t>
  </si>
  <si>
    <t>Racunu-P322H111/SP</t>
  </si>
  <si>
    <t>Gucupidu-H918H278/MG</t>
  </si>
  <si>
    <t>Firarepe-H784P724/MA</t>
  </si>
  <si>
    <t>Miramunu-H911H317/RJ</t>
  </si>
  <si>
    <t>Cerege-P891H829/GO</t>
  </si>
  <si>
    <t>Pinicafelu-P412H776/GO</t>
  </si>
  <si>
    <t>Gopemudaru-H191P264/GO</t>
  </si>
  <si>
    <t>Mopumigi-H534P699/SP</t>
  </si>
  <si>
    <t>Pigedicapi-H817P737/RJ</t>
  </si>
  <si>
    <t>Migitovole-P356P611/SP</t>
  </si>
  <si>
    <t>Vupupi-H323P486/AL</t>
  </si>
  <si>
    <t>Repolodoti-P453H342/ES</t>
  </si>
  <si>
    <t>Dutupifopo-P836H697/RJ</t>
  </si>
  <si>
    <t>Daloro-P897H455/MA</t>
  </si>
  <si>
    <t>Gomopu-P524P346/GO</t>
  </si>
  <si>
    <t>Metena-P776P684/GO</t>
  </si>
  <si>
    <t>Nipota-H363H196/MG</t>
  </si>
  <si>
    <t>Rutorudura-H391H278/AL</t>
  </si>
  <si>
    <t>Fupipara-H873P648/RJ</t>
  </si>
  <si>
    <t>Fegalaruti-P923H668/RJ</t>
  </si>
  <si>
    <t>Fotenofome-P877P834/AL</t>
  </si>
  <si>
    <t>Livovipoda-P849H415/MA</t>
  </si>
  <si>
    <t>Mivoto-H633H453/SP</t>
  </si>
  <si>
    <t>Girumitopo-P214P496/GO</t>
  </si>
  <si>
    <t>Tevetu-H384H796/GO</t>
  </si>
  <si>
    <t>Fetarica-H723H359/MG</t>
  </si>
  <si>
    <t>Rudupe-H755P675/AL</t>
  </si>
  <si>
    <t>Cirerono-H169H378/SP</t>
  </si>
  <si>
    <t>Riteli-P573H674/AL</t>
  </si>
  <si>
    <t>Pevapa-H846P999/ES</t>
  </si>
  <si>
    <t>Rovunapo-P442P263/GO</t>
  </si>
  <si>
    <t>Rocedu-H567P719/AL</t>
  </si>
  <si>
    <t>Riliri-H819P213/MG</t>
  </si>
  <si>
    <t>Nefada-P296P952/RJ</t>
  </si>
  <si>
    <t>Popufu-P523H155/MA</t>
  </si>
  <si>
    <t>Didefapema-P855H895/RJ</t>
  </si>
  <si>
    <t>Rulute-P115H295/ES</t>
  </si>
  <si>
    <t>Nipegaruva-H663P541/RJ</t>
  </si>
  <si>
    <t>Lofofupopa-P994H295/GO</t>
  </si>
  <si>
    <t>Nadeguteca-H469H479/AL</t>
  </si>
  <si>
    <t>Cocurafo-P132H196/SP</t>
  </si>
  <si>
    <t>Tidora-H171H739/SP</t>
  </si>
  <si>
    <t>Nocogifo-P931H285/MA</t>
  </si>
  <si>
    <t>Ligepuvoro-P934P146/AL</t>
  </si>
  <si>
    <t>Digarolumi-H353P332/GO</t>
  </si>
  <si>
    <t>Tinefimomi-H849H162/GO</t>
  </si>
  <si>
    <t>Tiratove-P374P216/MA</t>
  </si>
  <si>
    <t>Togupanu-P954H251/AL</t>
  </si>
  <si>
    <t>Pemecu-P271H867/MG</t>
  </si>
  <si>
    <t>Cimafivovi-P217H553/AL</t>
  </si>
  <si>
    <t>Poguverivi-H754H727/MG</t>
  </si>
  <si>
    <t>Logome-H566H869/SP</t>
  </si>
  <si>
    <t>Gulomofi-H246H267/ES</t>
  </si>
  <si>
    <t>Talota-H424P181/MG</t>
  </si>
  <si>
    <t>Toripugo-H964H642/MG</t>
  </si>
  <si>
    <t>Vacemi-H532P759/SP</t>
  </si>
  <si>
    <t>Garifa-P966P221/RJ</t>
  </si>
  <si>
    <t>Fogaduriti-P523H388/MA</t>
  </si>
  <si>
    <t>Pufipegaru-P669P573/MA</t>
  </si>
  <si>
    <t>Piratuno-H961P172/RJ</t>
  </si>
  <si>
    <t>Derotuve-H873H545/SP</t>
  </si>
  <si>
    <t>Papolaco-H432P932/AL</t>
  </si>
  <si>
    <t>Pogetepi-P495H747/MA</t>
  </si>
  <si>
    <t>Relepa-H651P278/GO</t>
  </si>
  <si>
    <t>Vetoporotu-H852P462/MG</t>
  </si>
  <si>
    <t>Pepopinagu-P814P126/AL</t>
  </si>
  <si>
    <t>Mivudapote-H531H765/MG</t>
  </si>
  <si>
    <t>Lepumafe-P896P765/MG</t>
  </si>
  <si>
    <t>Tamurido-H578H868/SP</t>
  </si>
  <si>
    <t>Reletu-H562P619/AL</t>
  </si>
  <si>
    <t>Pupegone-P354H288/MG</t>
  </si>
  <si>
    <t>Legera-P877H866/GO</t>
  </si>
  <si>
    <t>Gulegufa-P679H939/MA</t>
  </si>
  <si>
    <t>Cucitota-P117H715/ES</t>
  </si>
  <si>
    <t>Nepamicipi-H293P577/GO</t>
  </si>
  <si>
    <t>Piparigiri-P498H183/MG</t>
  </si>
  <si>
    <t>Pacute-P152P294/MA</t>
  </si>
  <si>
    <t>Nimepu-P871H819/MG</t>
  </si>
  <si>
    <t>Ruputavefa-P823P294/MA</t>
  </si>
  <si>
    <t>Ladoganeto-P288H651/MG</t>
  </si>
  <si>
    <t>Rorute-H876P881/ES</t>
  </si>
  <si>
    <t>Ponute-P938H881/SP</t>
  </si>
  <si>
    <t>Leceta-H663P962/GO</t>
  </si>
  <si>
    <t>Rigaromipo-P676H938/AL</t>
  </si>
  <si>
    <t>Tecatavave-H917P679/MA</t>
  </si>
  <si>
    <t>Putucafaru-P883P412/GO</t>
  </si>
  <si>
    <t>Tulaperigu-H266H736/GO</t>
  </si>
  <si>
    <t>Lugota-H719P221/AL</t>
  </si>
  <si>
    <t>Rovamuto-P496P617/RJ</t>
  </si>
  <si>
    <t>Gugipola-P531P826/SP</t>
  </si>
  <si>
    <t>Tenoca-H788P955/RJ</t>
  </si>
  <si>
    <t>Tepumi-H866H567/ES</t>
  </si>
  <si>
    <t>Cefuci-P914P585/AL</t>
  </si>
  <si>
    <t>Tetopatotu-P565P443/RJ</t>
  </si>
  <si>
    <t>Lopicodi-H269H697/MG</t>
  </si>
  <si>
    <t>Tocetanane-P777H474/SP</t>
  </si>
  <si>
    <t>Porele-P893P114/MG</t>
  </si>
  <si>
    <t>Rimotori-H916H348/AL</t>
  </si>
  <si>
    <t>Loteto-H139P161/GO</t>
  </si>
  <si>
    <t>Matuvuve-H869P952/SP</t>
  </si>
  <si>
    <t>Pafomurule-P451H522/MA</t>
  </si>
  <si>
    <t>Pacepidu-P839H664/GO</t>
  </si>
  <si>
    <t>Mopacufe-H229P731/MG</t>
  </si>
  <si>
    <t>Tulapi-P813H364/MG</t>
  </si>
  <si>
    <t>Turanaciti-H745P341/MG</t>
  </si>
  <si>
    <t>Rocude-P565H873/ES</t>
  </si>
  <si>
    <t>Vifaduvire-P459P327/RJ</t>
  </si>
  <si>
    <t>Ciroletapa-H275H981/MG</t>
  </si>
  <si>
    <t>Pirapige-H582H889/RJ</t>
  </si>
  <si>
    <t>Ruguvi-H592P347/MA</t>
  </si>
  <si>
    <t>Pitupapape-P488H981/AL</t>
  </si>
  <si>
    <t>Tipili-P639P528/SP</t>
  </si>
  <si>
    <t>Darapopi-H436H287/GO</t>
  </si>
  <si>
    <t>Piponuta-H987H215/AL</t>
  </si>
  <si>
    <t>Regepo-P538H334/RJ</t>
  </si>
  <si>
    <t>Topodi-H698H446/AL</t>
  </si>
  <si>
    <t>Patupecu-H424H622/RJ</t>
  </si>
  <si>
    <t>Duraparu-H525H335/MG</t>
  </si>
  <si>
    <t>Veradateto-H115P132/GO</t>
  </si>
  <si>
    <t>Ragoratepo-H246P898/SP</t>
  </si>
  <si>
    <t>Varadorito-P529P447/AL</t>
  </si>
  <si>
    <t>Forufemogo-P134H393/RJ</t>
  </si>
  <si>
    <t>Topupefi-H535P629/AL</t>
  </si>
  <si>
    <t>Dipige-P153H512/MG</t>
  </si>
  <si>
    <t>Nirovodopi-H812P349/GO</t>
  </si>
  <si>
    <t>Leriru-P116H188/MA</t>
  </si>
  <si>
    <t>Paninepoto-P682P314/AL</t>
  </si>
  <si>
    <t>Ragodalali-H866H366/ES</t>
  </si>
  <si>
    <t>Legiti-H332H988/ES</t>
  </si>
  <si>
    <t>Lopifi-P895P838/SP</t>
  </si>
  <si>
    <t>Rutafa-P881H964/MA</t>
  </si>
  <si>
    <t>Pataco-H824H114/SP</t>
  </si>
  <si>
    <t>Nupolavi-H848H621/SP</t>
  </si>
  <si>
    <t>Varopupepo-P242P376/MG</t>
  </si>
  <si>
    <t>Pifotuponi-H993H422/RJ</t>
  </si>
  <si>
    <t>Pipepo-P272P918/ES</t>
  </si>
  <si>
    <t>Pipuli-H621H217/AL</t>
  </si>
  <si>
    <t>Miguvufopu-P839P648/RJ</t>
  </si>
  <si>
    <t>Rurutopi-P375P884/GO</t>
  </si>
  <si>
    <t>Fafofefi-H441H344/AL</t>
  </si>
  <si>
    <t>Lolamavi-H681P566/MG</t>
  </si>
  <si>
    <t>Pufuce-H448P161/ES</t>
  </si>
  <si>
    <t>Tirupa-P385P845/SP</t>
  </si>
  <si>
    <t>Pulagefo-P574P561/SP</t>
  </si>
  <si>
    <t>Mugami-P495P433/SP</t>
  </si>
  <si>
    <t>Ricupe-H499P842/RJ</t>
  </si>
  <si>
    <t>Potitana-H144H234/MG</t>
  </si>
  <si>
    <t>Nipufacami-P711H654/ES</t>
  </si>
  <si>
    <t>Rerudarufe-P381P288/ES</t>
  </si>
  <si>
    <t>Furifeciti-P221H333/RJ</t>
  </si>
  <si>
    <t>Godilerata-P136P676/MG</t>
  </si>
  <si>
    <t>Gatuce-H114P455/MG</t>
  </si>
  <si>
    <t>Riludava-H187P622/ES</t>
  </si>
  <si>
    <t>Mitupa-P812P374/ES</t>
  </si>
  <si>
    <t>Ritopufe-P983H627/MG</t>
  </si>
  <si>
    <t>Cocepa-H375P272/MG</t>
  </si>
  <si>
    <t>Gitoliveri-H494H688/ES</t>
  </si>
  <si>
    <t>Pitaca-P762P821/MG</t>
  </si>
  <si>
    <t>Marevopova-H429P374/SP</t>
  </si>
  <si>
    <t>Retirufo-P971P553/SP</t>
  </si>
  <si>
    <t>Dapipu-H793H366/MA</t>
  </si>
  <si>
    <t>Cirigo-P458H421/MG</t>
  </si>
  <si>
    <t>Renatupu-P849H556/MA</t>
  </si>
  <si>
    <t>Popanapi-P692H753/MA</t>
  </si>
  <si>
    <t>Daretatupo-P557P568/MA</t>
  </si>
  <si>
    <t>Domoropiru-H112P979/AL</t>
  </si>
  <si>
    <t>Porimu-P536H767/SP</t>
  </si>
  <si>
    <t>Pulipipo-H156P773/MG</t>
  </si>
  <si>
    <t>Palipifa-P659H552/AL</t>
  </si>
  <si>
    <t>Rirurifo-H182H543/ES</t>
  </si>
  <si>
    <t>Marite-P242H384/AL</t>
  </si>
  <si>
    <t>Pimola-H822H141/RJ</t>
  </si>
  <si>
    <t>Livomifapa-P911H215/ES</t>
  </si>
  <si>
    <t>Tumupelo-H277H676/AL</t>
  </si>
  <si>
    <t>Tetevovuda-H491P436/MG</t>
  </si>
  <si>
    <t>Tigudopuge-H977H547/GO</t>
  </si>
  <si>
    <t>Fefevepa-P454H281/AL</t>
  </si>
  <si>
    <t>Dopagapu-H683H225/SP</t>
  </si>
  <si>
    <t>Pirefa-P887H631/GO</t>
  </si>
  <si>
    <t>Povitavomi-H954P398/ES</t>
  </si>
  <si>
    <t>Norirudi-H423H652/MG</t>
  </si>
  <si>
    <t>Darulitu-P743H539/RJ</t>
  </si>
  <si>
    <t>Vugeligoma-H822P962/RJ</t>
  </si>
  <si>
    <t>Civipe-H353H759/RJ</t>
  </si>
  <si>
    <t>Rupotiru-P511H979/ES</t>
  </si>
  <si>
    <t>Tututacega-P255H339/RJ</t>
  </si>
  <si>
    <t>Refiguli-P613P712/RJ</t>
  </si>
  <si>
    <t>Gutafufare-P626P614/MG</t>
  </si>
  <si>
    <t>Delevo-P223P139/MG</t>
  </si>
  <si>
    <t>Motala-H447P161/SP</t>
  </si>
  <si>
    <t>Rupepineli-H835P227/MA</t>
  </si>
  <si>
    <t>Rivudelomu-P539H841/MA</t>
  </si>
  <si>
    <t>Nutuvenu-P311H434/GO</t>
  </si>
  <si>
    <t>Rutigepi-P138H156/GO</t>
  </si>
  <si>
    <t>Patepuni-H247H426/RJ</t>
  </si>
  <si>
    <t>Larinecupa-H479P492/AL</t>
  </si>
  <si>
    <t>Riropupetu-P273P288/RJ</t>
  </si>
  <si>
    <t>Pofuterulo-H182H819/MG</t>
  </si>
  <si>
    <t>Cenani-P696P986/SP</t>
  </si>
  <si>
    <t>Falinevotu-P488H272/AL</t>
  </si>
  <si>
    <t>Peveroni-P568H864/SP</t>
  </si>
  <si>
    <t>Murapo-P442H637/SP</t>
  </si>
  <si>
    <t>Vafilu-P887H497/SP</t>
  </si>
  <si>
    <t>Tupega-H172P272/SP</t>
  </si>
  <si>
    <t>Dotulu-H837H784/AL</t>
  </si>
  <si>
    <t>Picolune-H693P525/RJ</t>
  </si>
  <si>
    <t>Ritima-H561P866/AL</t>
  </si>
  <si>
    <t>Caretege-H621P911/RJ</t>
  </si>
  <si>
    <t>Lamugi-H254P176/ES</t>
  </si>
  <si>
    <t>Tiracedi-P532H586/RJ</t>
  </si>
  <si>
    <t>Tudunodo-H131H298/MA</t>
  </si>
  <si>
    <t>Lurumicige-H932H584/RJ</t>
  </si>
  <si>
    <t>Fugola-H179P519/MA</t>
  </si>
  <si>
    <t>Vonoci-H531H724/MG</t>
  </si>
  <si>
    <t>Rurigadopa-H458P866/RJ</t>
  </si>
  <si>
    <t>Rafeta-P132P319/SP</t>
  </si>
  <si>
    <t>Lumivi-H832P892/ES</t>
  </si>
  <si>
    <t>Ripepu-P372P686/ES</t>
  </si>
  <si>
    <t>Peredomo-P727H518/AL</t>
  </si>
  <si>
    <t>Lapipere-P263H775/GO</t>
  </si>
  <si>
    <t>Pidurife-P381H549/MA</t>
  </si>
  <si>
    <t>Doragoda-H337H237/SP</t>
  </si>
  <si>
    <t>Dorate-P492P955/ES</t>
  </si>
  <si>
    <t>Cirati-P132P126/AL</t>
  </si>
  <si>
    <t>Tetire-P951P967/SP</t>
  </si>
  <si>
    <t>Riteto-H968H295/AL</t>
  </si>
  <si>
    <t>Pavipeco-H766P313/MG</t>
  </si>
  <si>
    <t>Metapumepe-H885P241/ES</t>
  </si>
  <si>
    <t>Gunapu-P392P581/RJ</t>
  </si>
  <si>
    <t>Tirapo-H397H882/GO</t>
  </si>
  <si>
    <t>Codocitoce-H225P516/RJ</t>
  </si>
  <si>
    <t>Mipame-P845P187/GO</t>
  </si>
  <si>
    <t>Netoto-P965P169/ES</t>
  </si>
  <si>
    <t>Papera-P538P138/MG</t>
  </si>
  <si>
    <t>Rapedipamo-P259H732/AL</t>
  </si>
  <si>
    <t>Racoca-H825P984/AL</t>
  </si>
  <si>
    <t>Tagila-H298H538/GO</t>
  </si>
  <si>
    <t>Gurugiri-H923P488/MA</t>
  </si>
  <si>
    <t>Tafuperafi-H338P921/RJ</t>
  </si>
  <si>
    <t>Picopura-H645H558/MA</t>
  </si>
  <si>
    <t>Didipipipa-P246H473/MG</t>
  </si>
  <si>
    <t>Pulute-H958P464/ES</t>
  </si>
  <si>
    <t>Putataga-H524H563/ES</t>
  </si>
  <si>
    <t>Piropupo-P573H923/MG</t>
  </si>
  <si>
    <t>Patunipori-H398H846/RJ</t>
  </si>
  <si>
    <t>Pugagotira-P716H289/MA</t>
  </si>
  <si>
    <t>Perapopo-H174P674/RJ</t>
  </si>
  <si>
    <t>Gelitapudu-H145P237/GO</t>
  </si>
  <si>
    <t>Netunapa-H917P645/AL</t>
  </si>
  <si>
    <t>Vucegi-P775H845/MG</t>
  </si>
  <si>
    <t>Pacovogacu-P182H935/MA</t>
  </si>
  <si>
    <t>Poferame-H986P575/RJ</t>
  </si>
  <si>
    <t>Gonuma-H489H297/ES</t>
  </si>
  <si>
    <t>Nugoro-H332P157/AL</t>
  </si>
  <si>
    <t>Todecure-P941P286/AL</t>
  </si>
  <si>
    <t>Depucarili-P455H581/AL</t>
  </si>
  <si>
    <t>Pemedapena-P888P865/ES</t>
  </si>
  <si>
    <t>Ralanu-P788P179/AL</t>
  </si>
  <si>
    <t>Focovino-H956H243/ES</t>
  </si>
  <si>
    <t>Mapidegilu-H597P374/MA</t>
  </si>
  <si>
    <t>Norapini-H511P689/RJ</t>
  </si>
  <si>
    <t>Dotufirono-P787P899/AL</t>
  </si>
  <si>
    <t>Tugutono-P212P331/GO</t>
  </si>
  <si>
    <t>Midafigu-P489H423/MA</t>
  </si>
  <si>
    <t>Gatanitu-H891H834/ES</t>
  </si>
  <si>
    <t>Mecarigadi-P865H968/SP</t>
  </si>
  <si>
    <t>Toticu-P929P696/AL</t>
  </si>
  <si>
    <t>Popumate-H482P472/AL</t>
  </si>
  <si>
    <t>Digato-H385P191/GO</t>
  </si>
  <si>
    <t>Datoti-H737P394/RJ</t>
  </si>
  <si>
    <t>Nufiledu-H421H252/RJ</t>
  </si>
  <si>
    <t>Punarovivu-H782P281/MG</t>
  </si>
  <si>
    <t>Racefapore-H528H364/MA</t>
  </si>
  <si>
    <t>Ropopugofu-P747P276/SP</t>
  </si>
  <si>
    <t>Niretitefa-H978P411/GO</t>
  </si>
  <si>
    <t>Pocagifuco-P693H671/MA</t>
  </si>
  <si>
    <t>Ferati-H335P457/GO</t>
  </si>
  <si>
    <t>Rupuvepipo-P726H898/GO</t>
  </si>
  <si>
    <t>Fagiru-P918H577/GO</t>
  </si>
  <si>
    <t>Pivuvamo-P894P936/RJ</t>
  </si>
  <si>
    <t>Cicelo-P485P512/GO</t>
  </si>
  <si>
    <t>Roretefalo-P496P353/SP</t>
  </si>
  <si>
    <t>Medinumagi-P716P782/MG</t>
  </si>
  <si>
    <t>Cedopupepi-H625P127/RJ</t>
  </si>
  <si>
    <t>Dadipupodi-P422P631/ES</t>
  </si>
  <si>
    <t>Vogefo-P838P467/ES</t>
  </si>
  <si>
    <t>Nipolaru-P587P256/GO</t>
  </si>
  <si>
    <t>Tumepela-H735P463/SP</t>
  </si>
  <si>
    <t>Getudedapu-H528H674/MG</t>
  </si>
  <si>
    <t>Pecepome-H128P428/MG</t>
  </si>
  <si>
    <t>Dudofemapu-H811H164/SP</t>
  </si>
  <si>
    <t>Lidopotedo-P734P263/SP</t>
  </si>
  <si>
    <t>Vipefa-P552H365/GO</t>
  </si>
  <si>
    <t>Penalipupu-H993P574/MA</t>
  </si>
  <si>
    <t>Gutomo-H664H484/SP</t>
  </si>
  <si>
    <t>Tevefalapi-P885P559/ES</t>
  </si>
  <si>
    <t>Rapivumu-P366P378/MA</t>
  </si>
  <si>
    <t>Tetemi-P764P745/ES</t>
  </si>
  <si>
    <t>Vineputu-P233P365/AL</t>
  </si>
  <si>
    <t>Toterova-H945P721/MG</t>
  </si>
  <si>
    <t>Pepegucono-H763P383/SP</t>
  </si>
  <si>
    <t>Pagorapule-P218H662/AL</t>
  </si>
  <si>
    <t>Lapepatori-H726H958/RJ</t>
  </si>
  <si>
    <t>Vutufe-P873H963/SP</t>
  </si>
  <si>
    <t>Feguro-H188P986/GO</t>
  </si>
  <si>
    <t>Poropati-H624P983/MA</t>
  </si>
  <si>
    <t>Tometo-P629P968/AL</t>
  </si>
  <si>
    <t>Rupime-P317H591/SP</t>
  </si>
  <si>
    <t>Nupudoca-H791H168/RJ</t>
  </si>
  <si>
    <t>Terovegeta-P825H773/MG</t>
  </si>
  <si>
    <t>Turevi-H333P673/MG</t>
  </si>
  <si>
    <t>Tularufapi-P961H568/MA</t>
  </si>
  <si>
    <t>Pilepuro-H233H781/RJ</t>
  </si>
  <si>
    <t>Fogecemido-P835H347/ES</t>
  </si>
  <si>
    <t>Lefufu-P116H918/MA</t>
  </si>
  <si>
    <t>Lutinemu-H661P293/AL</t>
  </si>
  <si>
    <t>Lalumapipe-P847P993/GO</t>
  </si>
  <si>
    <t>Todifi-H163P391/ES</t>
  </si>
  <si>
    <t>Roperuti-P368H888/MG</t>
  </si>
  <si>
    <t>Pepeti-P435P595/ES</t>
  </si>
  <si>
    <t>Nafigu-H372H711/AL</t>
  </si>
  <si>
    <t>Funufatopo-P119H224/RJ</t>
  </si>
  <si>
    <t>Nenava-P312H514/RJ</t>
  </si>
  <si>
    <t>Mapipu-H731P723/AL</t>
  </si>
  <si>
    <t>Fucote-H112H582/RJ</t>
  </si>
  <si>
    <t>Nipopedufo-P711H232/GO</t>
  </si>
  <si>
    <t>Mopapilovo-P688P189/SP</t>
  </si>
  <si>
    <t>Rorecotodo-P462P714/MA</t>
  </si>
  <si>
    <t>Dupeduva-H614P988/ES</t>
  </si>
  <si>
    <t>Lofarupopo-P649P794/ES</t>
  </si>
  <si>
    <t>Pinuvufigu-H885H929/SP</t>
  </si>
  <si>
    <t>Voturapi-H653H173/GO</t>
  </si>
  <si>
    <t>Riramofave-H911H823/ES</t>
  </si>
  <si>
    <t>Papinotuvu-H367P647/MG</t>
  </si>
  <si>
    <t>Locaco-P487P391/AL</t>
  </si>
  <si>
    <t>Pidipepa-H738H722/MG</t>
  </si>
  <si>
    <t>Pecoduni-P584P635/RJ</t>
  </si>
  <si>
    <t>Ritomilu-P852H735/RJ</t>
  </si>
  <si>
    <t>Cepirumida-H958P391/SP</t>
  </si>
  <si>
    <t>Purulepele-P886H168/MG</t>
  </si>
  <si>
    <t>Temica-P546H542/RJ</t>
  </si>
  <si>
    <t>Pegati-P634H574/ES</t>
  </si>
  <si>
    <t>Pupana-H826H491/GO</t>
  </si>
  <si>
    <t>Dacoda-H831P148/SP</t>
  </si>
  <si>
    <t>Vorafapora-H122H165/ES</t>
  </si>
  <si>
    <t>Dicadipita-P841P895/RJ</t>
  </si>
  <si>
    <t>Rageta-P754H393/MG</t>
  </si>
  <si>
    <t>Pugulumovu-P889P674/MG</t>
  </si>
  <si>
    <t>Lopucu-H163H833/MG</t>
  </si>
  <si>
    <t>Titecevu-P295P974/SP</t>
  </si>
  <si>
    <t>Rapetata-P656P161/GO</t>
  </si>
  <si>
    <t>Topape-H927H182/MA</t>
  </si>
  <si>
    <t>Navotifo-P937P341/ES</t>
  </si>
  <si>
    <t>Pilovoti-H213P483/MA</t>
  </si>
  <si>
    <t>Gupafiroti-H644P192/MA</t>
  </si>
  <si>
    <t>Cilupepudo-H678H429/MA</t>
  </si>
  <si>
    <t>Ticifope-H298H352/AL</t>
  </si>
  <si>
    <t>Radopedodi-H382H178/ES</t>
  </si>
  <si>
    <t>Tedupe-H738H111/GO</t>
  </si>
  <si>
    <t>Nanomanu-H153H187/MA</t>
  </si>
  <si>
    <t>Giniraduti-H189P583/GO</t>
  </si>
  <si>
    <t>Pomirugera-H436P562/SP</t>
  </si>
  <si>
    <t>Nuvino-P285P231/AL</t>
  </si>
  <si>
    <t>Vapede-P519H985/AL</t>
  </si>
  <si>
    <t>Mavodofa-H456H882/MA</t>
  </si>
  <si>
    <t>Fifutu-P466P283/SP</t>
  </si>
  <si>
    <t>Pagirido-P341P938/RJ</t>
  </si>
  <si>
    <t>Gufata-P218H437/SP</t>
  </si>
  <si>
    <t>Furite-H722H394/SP</t>
  </si>
  <si>
    <t>Luronufo-H646H144/ES</t>
  </si>
  <si>
    <t>Rudepimi-P228H167/AL</t>
  </si>
  <si>
    <t>Rolovifi-P948H517/RJ</t>
  </si>
  <si>
    <t>Pepapulapi-P364P434/AL</t>
  </si>
  <si>
    <t>Cucutimupa-H769H593/MA</t>
  </si>
  <si>
    <t>Nudurupa-H189P164/GO</t>
  </si>
  <si>
    <t>Titepa-H599H447/MG</t>
  </si>
  <si>
    <t>Pecepari-H552H997/SP</t>
  </si>
  <si>
    <t>Tudore-P267H259/MG</t>
  </si>
  <si>
    <t>Petolo-P758P228/MG</t>
  </si>
  <si>
    <t>Mipivopofi-H991H184/ES</t>
  </si>
  <si>
    <t>Gamolave-P334P239/SP</t>
  </si>
  <si>
    <t>Netapirofa-H576H713/GO</t>
  </si>
  <si>
    <t>Veriritetu-H244H312/AL</t>
  </si>
  <si>
    <t>Cupuro-H555H872/GO</t>
  </si>
  <si>
    <t>Pacepupi-P971P246/RJ</t>
  </si>
  <si>
    <t>Nirudi-P194P449/MG</t>
  </si>
  <si>
    <t>Neroti-P537H387/RJ</t>
  </si>
  <si>
    <t>Nicede-H272P795/MA</t>
  </si>
  <si>
    <t>Carome-P436H399/MG</t>
  </si>
  <si>
    <t>Vulepe-H552P426/RJ</t>
  </si>
  <si>
    <t>Denapinu-H397H472/GO</t>
  </si>
  <si>
    <t>Dapicutigi-P582P486/MA</t>
  </si>
  <si>
    <t>Nenerucu-H973H576/SP</t>
  </si>
  <si>
    <t>Cevucemo-H726H447/AL</t>
  </si>
  <si>
    <t>Cocevi-P187P311/MG</t>
  </si>
  <si>
    <t>Cinecora-P935H547/ES</t>
  </si>
  <si>
    <t>Cipinara-P237P595/GO</t>
  </si>
  <si>
    <t>Cudeturotu-P652P664/SP</t>
  </si>
  <si>
    <t>Nupinida-P553P592/RJ</t>
  </si>
  <si>
    <t>Ludatu-H612H211/GO</t>
  </si>
  <si>
    <t>Pipumipera-P375H415/RJ</t>
  </si>
  <si>
    <t>Tacaricugu-P821P796/MA</t>
  </si>
  <si>
    <t>Pifonilocu-H373H317/MA</t>
  </si>
  <si>
    <t>Tupevi-P116P543/MA</t>
  </si>
  <si>
    <t>Pulatili-H496P879/MG</t>
  </si>
  <si>
    <t>Virilu-P549P422/AL</t>
  </si>
  <si>
    <t>Cotupu-P859P955/AL</t>
  </si>
  <si>
    <t>Dapapa-H176P464/GO</t>
  </si>
  <si>
    <t>Narumenepi-P587H779/MA</t>
  </si>
  <si>
    <t>Donifefo-P557H447/GO</t>
  </si>
  <si>
    <t>Rerepenupi-H659H972/MG</t>
  </si>
  <si>
    <t>Tecapanita-P726H926/MG</t>
  </si>
  <si>
    <t>Vututa-P451H951/RJ</t>
  </si>
  <si>
    <t>Tipufira-H365H648/SP</t>
  </si>
  <si>
    <t>Vepova-H834H891/SP</t>
  </si>
  <si>
    <t>Malica-P828P174/ES</t>
  </si>
  <si>
    <t>Tuputupupa-H355P394/AL</t>
  </si>
  <si>
    <t>Panocuvifo-H547P384/MG</t>
  </si>
  <si>
    <t>Nogidelu-H331H546/AL</t>
  </si>
  <si>
    <t>Vufimago-P259H563/AL</t>
  </si>
  <si>
    <t>Tedaledogi-H897P637/GO</t>
  </si>
  <si>
    <t>Tecegamoti-P655H175/RJ</t>
  </si>
  <si>
    <t>Pufape-P448H637/AL</t>
  </si>
  <si>
    <t>Potifigo-H323P276/MA</t>
  </si>
  <si>
    <t>Totuninotu-H647P999/ES</t>
  </si>
  <si>
    <t>Cuneru-H856P352/ES</t>
  </si>
  <si>
    <t>Dupado-H444H723/AL</t>
  </si>
  <si>
    <t>Rupiro-P821H472/ES</t>
  </si>
  <si>
    <t>Mopige-P237P392/MG</t>
  </si>
  <si>
    <t>Vitafa-H818H797/MG</t>
  </si>
  <si>
    <t>Donefa-P968H689/MA</t>
  </si>
  <si>
    <t>Pulune-P954H173/MG</t>
  </si>
  <si>
    <t>Nonuno-H154H499/GO</t>
  </si>
  <si>
    <t>Nirero-P335H145/ES</t>
  </si>
  <si>
    <t>Gicome-P261H522/GO</t>
  </si>
  <si>
    <t>Lifipavedi-P596H712/ES</t>
  </si>
  <si>
    <t>Garapemu-P623P391/RJ</t>
  </si>
  <si>
    <t>Nalirarola-P144H353/AL</t>
  </si>
  <si>
    <t>Nugiti-P845P627/MA</t>
  </si>
  <si>
    <t>Popumupe-P795P163/MG</t>
  </si>
  <si>
    <t>Maparate-P985P749/AL</t>
  </si>
  <si>
    <t>Digugidi-H866P879/MA</t>
  </si>
  <si>
    <t>Dirina-P711H778/GO</t>
  </si>
  <si>
    <t>Dupevo-H848P594/MG</t>
  </si>
  <si>
    <t>Togunada-P167H491/AL</t>
  </si>
  <si>
    <t>Modopefotu-P187P913/SP</t>
  </si>
  <si>
    <t>Ropela-H156H295/MG</t>
  </si>
  <si>
    <t>Fuperu-H345H352/GO</t>
  </si>
  <si>
    <t>Lonepoti-H171H699/MA</t>
  </si>
  <si>
    <t>Lipecurare-H625P419/MG</t>
  </si>
  <si>
    <t>Luferova-H764P675/GO</t>
  </si>
  <si>
    <t>Vevefi-P111P925/GO</t>
  </si>
  <si>
    <t>Potulope-H848P855/MA</t>
  </si>
  <si>
    <t>Revapugite-P797P969/MA</t>
  </si>
  <si>
    <t>Goredi-H834H776/RJ</t>
  </si>
  <si>
    <t>Tatitu-P167H831/AL</t>
  </si>
  <si>
    <t>Piconadalu-P579P116/AL</t>
  </si>
  <si>
    <t>Redula-P644H668/AL</t>
  </si>
  <si>
    <t>Devulinami-H577H754/GO</t>
  </si>
  <si>
    <t>Fotipitinu-H854P477/GO</t>
  </si>
  <si>
    <t>Rorovita-H732P396/AL</t>
  </si>
  <si>
    <t>Cufapotami-H866P847/GO</t>
  </si>
  <si>
    <t>Docape-P983P624/SP</t>
  </si>
  <si>
    <t>Nupifuri-P646P316/ES</t>
  </si>
  <si>
    <t>Vupove-P856H646/ES</t>
  </si>
  <si>
    <t>Ludafitu-H946H181/MG</t>
  </si>
  <si>
    <t>Pomupera-H177H693/ES</t>
  </si>
  <si>
    <t>Roguvutaro-P186H675/SP</t>
  </si>
  <si>
    <t>Gotagu-P539H548/MG</t>
  </si>
  <si>
    <t>Tepumuri-P471H553/ES</t>
  </si>
  <si>
    <t>Pitogucera-P298P281/GO</t>
  </si>
  <si>
    <t>Vuceto-P594P578/RJ</t>
  </si>
  <si>
    <t>Torage-P221H966/ES</t>
  </si>
  <si>
    <t>Puranacu-H116P327/SP</t>
  </si>
  <si>
    <t>Mefimu-H125P478/ES</t>
  </si>
  <si>
    <t>Raronu-P977H273/ES</t>
  </si>
  <si>
    <t>Funalaviti-H314H979/MA</t>
  </si>
  <si>
    <t>Pefefe-P727H979/ES</t>
  </si>
  <si>
    <t>Gagemovu-H888P892/GO</t>
  </si>
  <si>
    <t>Tulecapu-H986H959/AL</t>
  </si>
  <si>
    <t>Tafuvale-H536P915/ES</t>
  </si>
  <si>
    <t>Muteregina-H152H576/RJ</t>
  </si>
  <si>
    <t>Tameno-P561P366/MA</t>
  </si>
  <si>
    <t>Picupideta-P228P629/MG</t>
  </si>
  <si>
    <t>Nogure-H979P382/MG</t>
  </si>
  <si>
    <t>Fuporegico-P376P441/ES</t>
  </si>
  <si>
    <t>Pocuro-P653H788/MA</t>
  </si>
  <si>
    <t>Popuditoto-H724H675/AL</t>
  </si>
  <si>
    <t>Pururuce-P865H759/ES</t>
  </si>
  <si>
    <t>Panepupi-H326H898/GO</t>
  </si>
  <si>
    <t>Tivorope-P799H963/ES</t>
  </si>
  <si>
    <t>Ciloropo-P864H892/AL</t>
  </si>
  <si>
    <t>Dididufopo-P665H764/AL</t>
  </si>
  <si>
    <t>Tevata-P897P248/MG</t>
  </si>
  <si>
    <t>Podirore-H166H448/MG</t>
  </si>
  <si>
    <t>Lotepetoce-H792P743/MA</t>
  </si>
  <si>
    <t>Locaguviro-H588H233/AL</t>
  </si>
  <si>
    <t>Moravaratu-P636H897/SP</t>
  </si>
  <si>
    <t>Vaciduvotu-H669P474/RJ</t>
  </si>
  <si>
    <t>Gimarelefi-P611H548/RJ</t>
  </si>
  <si>
    <t>Folifuno-H224H544/SP</t>
  </si>
  <si>
    <t>Pepinepu-P299H714/MG</t>
  </si>
  <si>
    <t>Pevimiru-H763P574/ES</t>
  </si>
  <si>
    <t>Virupo-H194H546/GO</t>
  </si>
  <si>
    <t>Raciremi-P516P836/ES</t>
  </si>
  <si>
    <t>Nuvumuli-P919H177/MG</t>
  </si>
  <si>
    <t>Nimopone-P534P653/GO</t>
  </si>
  <si>
    <t>Cugunu-H851H995/AL</t>
  </si>
  <si>
    <t>Rucupofafi-H636H697/GO</t>
  </si>
  <si>
    <t>Romireri-H995P136/AL</t>
  </si>
  <si>
    <t>Tiracira-P435H431/GO</t>
  </si>
  <si>
    <t>Nerupapa-H533P471/MA</t>
  </si>
  <si>
    <t>Puditunaci-P639H841/ES</t>
  </si>
  <si>
    <t>Verivonefo-H284H638/SP</t>
  </si>
  <si>
    <t>Vumicida-P251H191/GO</t>
  </si>
  <si>
    <t>Pecopifatu-H143P243/MG</t>
  </si>
  <si>
    <t>Totoga-H623P532/SP</t>
  </si>
  <si>
    <t>Doretoto-P415H914/AL</t>
  </si>
  <si>
    <t>Garataco-H572P647/SP</t>
  </si>
  <si>
    <t>Durafa-P259H267/AL</t>
  </si>
  <si>
    <t>Gopepope-P484P612/MA</t>
  </si>
  <si>
    <t>Racipo-P351P519/ES</t>
  </si>
  <si>
    <t>Petudu-H822H482/GO</t>
  </si>
  <si>
    <t>Periludage-P198H521/SP</t>
  </si>
  <si>
    <t>Lelotonivi-P781H979/MG</t>
  </si>
  <si>
    <t>Tapecotani-H627P753/GO</t>
  </si>
  <si>
    <t>Velivaci-H393P794/SP</t>
  </si>
  <si>
    <t>Dotireru-P674P715/SP</t>
  </si>
  <si>
    <t>Cilepenile-H517P894/MA</t>
  </si>
  <si>
    <t>Ditumotuci-P715H741/SP</t>
  </si>
  <si>
    <t>Mimotu-H386P757/SP</t>
  </si>
  <si>
    <t>Derufu-H689P722/RJ</t>
  </si>
  <si>
    <t>Riguruvani-H742H813/RJ</t>
  </si>
  <si>
    <t>Vopudopupi-P331H934/SP</t>
  </si>
  <si>
    <t>Pipatipi-P387H988/MG</t>
  </si>
  <si>
    <t>Pavapo-H598H565/ES</t>
  </si>
  <si>
    <t>Gatife-P289P436/MG</t>
  </si>
  <si>
    <t>Fipilodero-P373P771/AL</t>
  </si>
  <si>
    <t>Lugeredala-H486P153/SP</t>
  </si>
  <si>
    <t>Davapudemi-P944H569/SP</t>
  </si>
  <si>
    <t>Picuta-P684P885/RJ</t>
  </si>
  <si>
    <t>Pepilanuga-P535P445/MA</t>
  </si>
  <si>
    <t>Lepugace-P594H813/GO</t>
  </si>
  <si>
    <t>Peledugene-P935P785/RJ</t>
  </si>
  <si>
    <t>Ganetedoni-P366H596/MA</t>
  </si>
  <si>
    <t>Panedotofe-P238H297/RJ</t>
  </si>
  <si>
    <t>Votevago-H314P492/GO</t>
  </si>
  <si>
    <t>Nudido-H575P788/AL</t>
  </si>
  <si>
    <t>Fenatirimu-H955P122/MA</t>
  </si>
  <si>
    <t>Gucula-H581H451/MG</t>
  </si>
  <si>
    <t>Virepilapo-P345P868/ES</t>
  </si>
  <si>
    <t>Lopevodava-H359H732/MA</t>
  </si>
  <si>
    <t>Pidopo-H681H378/AL</t>
  </si>
  <si>
    <t>Temapo-P974P941/GO</t>
  </si>
  <si>
    <t>Pepopi-H839P325/GO</t>
  </si>
  <si>
    <t>Peguturece-H473P115/AL</t>
  </si>
  <si>
    <t>Duteco-H399P915/MG</t>
  </si>
  <si>
    <t>Pegalala-H133H373/MG</t>
  </si>
  <si>
    <t>Diganepede-H452P481/ES</t>
  </si>
  <si>
    <t>Venigo-P695H499/SP</t>
  </si>
  <si>
    <t>Daneroma-P543H182/MG</t>
  </si>
  <si>
    <t>Piruci-H341H173/GO</t>
  </si>
  <si>
    <t>Licopo-H345P239/GO</t>
  </si>
  <si>
    <t>Pocifale-P687P272/RJ</t>
  </si>
  <si>
    <t>Fidipemene-H668P632/GO</t>
  </si>
  <si>
    <t>Vuvadapi-H939P167/RJ</t>
  </si>
  <si>
    <t>Tudocoruta-H411P767/MG</t>
  </si>
  <si>
    <t>Ropofufo-P633P433/MG</t>
  </si>
  <si>
    <t>Pipuro-P579H785/MA</t>
  </si>
  <si>
    <t>Mupopuva-H943P482/ES</t>
  </si>
  <si>
    <t>Patifapoga-P474P843/ES</t>
  </si>
  <si>
    <t>Motivevuli-H513H946/ES</t>
  </si>
  <si>
    <t>Pemodu-H534P262/SP</t>
  </si>
  <si>
    <t>Pagomevitu-P428P436/GO</t>
  </si>
  <si>
    <t>Tudofale-H439P356/GO</t>
  </si>
  <si>
    <t>Megafovitu-P255H476/GO</t>
  </si>
  <si>
    <t>Rarevofano-H745P554/MG</t>
  </si>
  <si>
    <t>Tipute-H772H122/GO</t>
  </si>
  <si>
    <t>Duneralupa-H264P881/SP</t>
  </si>
  <si>
    <t>Cotulareta-P833P343/ES</t>
  </si>
  <si>
    <t>Nuridolulu-H544P891/RJ</t>
  </si>
  <si>
    <t>Faroda-P929H489/ES</t>
  </si>
  <si>
    <t>Vadepana-H373P755/MG</t>
  </si>
  <si>
    <t>Menuropate-P286P527/MA</t>
  </si>
  <si>
    <t>Patuga-P347H187/ES</t>
  </si>
  <si>
    <t>Remalupopi-P464H619/ES</t>
  </si>
  <si>
    <t>Dupotivopi-P516P953/GO</t>
  </si>
  <si>
    <t>Tumedinu-H627P294/ES</t>
  </si>
  <si>
    <t>Gotota-P228H795/SP</t>
  </si>
  <si>
    <t>Licepato-H933H626/SP</t>
  </si>
  <si>
    <t>Moraramore-P221H748/RJ</t>
  </si>
  <si>
    <t>Lapuruma-H934H922/GO</t>
  </si>
  <si>
    <t>Tanipo-P619H657/MG</t>
  </si>
  <si>
    <t>Peponipo-H936P939/ES</t>
  </si>
  <si>
    <t>Vanatimudi-P629H799/SP</t>
  </si>
  <si>
    <t>Pupegofuti-P487P759/ES</t>
  </si>
  <si>
    <t>Vitigilifi-P181H631/RJ</t>
  </si>
  <si>
    <t>Dopirutevu-H213P551/RJ</t>
  </si>
  <si>
    <t>Gatapi-P462H975/RJ</t>
  </si>
  <si>
    <t>Fucole-H411H479/AL</t>
  </si>
  <si>
    <t>Tapovefe-H231P437/MA</t>
  </si>
  <si>
    <t>Pupupo-P557P284/GO</t>
  </si>
  <si>
    <t>Rirapola-H771H377/MG</t>
  </si>
  <si>
    <t>Vodepe-P397P155/MA</t>
  </si>
  <si>
    <t>Nutagoromu-P143P382/GO</t>
  </si>
  <si>
    <t>Tivenigeta-H624H857/MA</t>
  </si>
  <si>
    <t>Rucipitutu-H354P369/RJ</t>
  </si>
  <si>
    <t>Topefaru-P265H699/SP</t>
  </si>
  <si>
    <t>Pugepa-P652P514/GO</t>
  </si>
  <si>
    <t>Mimuno-P259H391/MG</t>
  </si>
  <si>
    <t>Roluvo-H575H646/MG</t>
  </si>
  <si>
    <t>Pepigefuro-H861H979/MA</t>
  </si>
  <si>
    <t>Pifiri-H912H359/GO</t>
  </si>
  <si>
    <t>Tareva-H491P115/SP</t>
  </si>
  <si>
    <t>Gicatida-H624P368/MG</t>
  </si>
  <si>
    <t>Naromu-P477H432/MG</t>
  </si>
  <si>
    <t>Lunilovu-P778H189/GO</t>
  </si>
  <si>
    <t>Petudutipu-P916H726/MG</t>
  </si>
  <si>
    <t>Citeneda-H954P439/MG</t>
  </si>
  <si>
    <t>Podiva-P829H596/MA</t>
  </si>
  <si>
    <t>Tidupu-H672P343/MA</t>
  </si>
  <si>
    <t>Depecetatu-P439H825/AL</t>
  </si>
  <si>
    <t>Ronapopilu-H833P265/AL</t>
  </si>
  <si>
    <t>Tanolafu-P539H397/GO</t>
  </si>
  <si>
    <t>Pugice-H397P411/MG</t>
  </si>
  <si>
    <t>Povuta-P417P232/GO</t>
  </si>
  <si>
    <t>Covapipu-P764H371/RJ</t>
  </si>
  <si>
    <t>Gatati-P982H262/ES</t>
  </si>
  <si>
    <t>Pivenilene-P684H793/GO</t>
  </si>
  <si>
    <t>Pocaritite-P667H286/ES</t>
  </si>
  <si>
    <t>Rapurefopu-P847P267/SP</t>
  </si>
  <si>
    <t>Mopavo-H958H171/GO</t>
  </si>
  <si>
    <t>Nogetotepe-P824H962/MA</t>
  </si>
  <si>
    <t>Vofemufoco-P452P523/ES</t>
  </si>
  <si>
    <t>Micupu-H914P311/SP</t>
  </si>
  <si>
    <t>Nemamaro-P515P279/SP</t>
  </si>
  <si>
    <t>Lumarure-H785P437/SP</t>
  </si>
  <si>
    <t>Rofava-P412P626/AL</t>
  </si>
  <si>
    <t>Rapuda-P374H844/RJ</t>
  </si>
  <si>
    <t>Racopitata-P265P414/AL</t>
  </si>
  <si>
    <t>Nevufi-H644H253/GO</t>
  </si>
  <si>
    <t>Peralo-H467H284/GO</t>
  </si>
  <si>
    <t>Rifopitelo-H769H757/MG</t>
  </si>
  <si>
    <t>Fiteta-P863P162/RJ</t>
  </si>
  <si>
    <t>Rerogolere-P437P991/MA</t>
  </si>
  <si>
    <t>Vagagape-H699P176/ES</t>
  </si>
  <si>
    <t>Forupodu-H561H255/ES</t>
  </si>
  <si>
    <t>Fufipu-P992H261/MA</t>
  </si>
  <si>
    <t>Rititi-P683P192/ES</t>
  </si>
  <si>
    <t>Rocapu-H633H839/SP</t>
  </si>
  <si>
    <t>Nivonodu-P944P193/MG</t>
  </si>
  <si>
    <t>Gototopi-P662H236/GO</t>
  </si>
  <si>
    <t>Poparunepi-H187H893/ES</t>
  </si>
  <si>
    <t>Daguradani-P335H422/GO</t>
  </si>
  <si>
    <t>Famapetugo-P913H436/ES</t>
  </si>
  <si>
    <t>Tefimenuvi-P823H623/MA</t>
  </si>
  <si>
    <t>Peporopa-P544P296/ES</t>
  </si>
  <si>
    <t>Tapono-H289H859/SP</t>
  </si>
  <si>
    <t>Reropovota-P499H897/GO</t>
  </si>
  <si>
    <t>Pufupu-P839H576/MG</t>
  </si>
  <si>
    <t>Pitalo-P452H497/GO</t>
  </si>
  <si>
    <t>Vuropi-H241P728/ES</t>
  </si>
  <si>
    <t>Demapi-P914H298/AL</t>
  </si>
  <si>
    <t>Natocopeto-P351H257/ES</t>
  </si>
  <si>
    <t>Peripu-P158P842/GO</t>
  </si>
  <si>
    <t>Ramigepepe-H731P955/MA</t>
  </si>
  <si>
    <t>Gepodopo-P194H617/AL</t>
  </si>
  <si>
    <t>Parure-H416P574/ES</t>
  </si>
  <si>
    <t>Duramuruto-H232P999/AL</t>
  </si>
  <si>
    <t>Rigugofa-H526H545/SP</t>
  </si>
  <si>
    <t>Fopituto-H857H232/AL</t>
  </si>
  <si>
    <t>Cupudepupa-H667H614/GO</t>
  </si>
  <si>
    <t>Pifiduri-H549P744/AL</t>
  </si>
  <si>
    <t>Moralupate-H571H567/SP</t>
  </si>
  <si>
    <t>Futetame-H616P889/MA</t>
  </si>
  <si>
    <t>Letofonu-H618P848/RJ</t>
  </si>
  <si>
    <t>Tilapodara-H834P537/AL</t>
  </si>
  <si>
    <t>Cetavuci-H462H814/MG</t>
  </si>
  <si>
    <t>Vapitu-P977H712/MG</t>
  </si>
  <si>
    <t>Rupiniga-P926H369/GO</t>
  </si>
  <si>
    <t>Nituto-H594H363/AL</t>
  </si>
  <si>
    <t>Rapofigaru-P768P564/MG</t>
  </si>
  <si>
    <t>Totiranepi-P893P848/RJ</t>
  </si>
  <si>
    <t>Goretigu-H576P423/SP</t>
  </si>
  <si>
    <t>Pitopopago-P872P642/MA</t>
  </si>
  <si>
    <t>Ficavi-H811P698/MA</t>
  </si>
  <si>
    <t>Pafume-P572P459/RJ</t>
  </si>
  <si>
    <t>Gipemive-H137P867/SP</t>
  </si>
  <si>
    <t>Notaniramo-H365P118/AL</t>
  </si>
  <si>
    <t>Tagutogi-P964P741/GO</t>
  </si>
  <si>
    <t>Gofolo-P838P854/ES</t>
  </si>
  <si>
    <t>Tipafa-P469P428/RJ</t>
  </si>
  <si>
    <t>Gecopepige-H229H785/MG</t>
  </si>
  <si>
    <t>Vuvinego-P354H565/ES</t>
  </si>
  <si>
    <t>Piranupu-P981H185/ES</t>
  </si>
  <si>
    <t>Muconedi-H724P455/RJ</t>
  </si>
  <si>
    <t>Lurucera-P884H564/MA</t>
  </si>
  <si>
    <t>Pipatela-H985P337/ES</t>
  </si>
  <si>
    <t>Murenu-P311H427/AL</t>
  </si>
  <si>
    <t>Pepileru-H847P629/MG</t>
  </si>
  <si>
    <t>Ruvipi-H864H998/RJ</t>
  </si>
  <si>
    <t>Mupavicu-H294P857/RJ</t>
  </si>
  <si>
    <t>Nerupiga-P579P532/MA</t>
  </si>
  <si>
    <t>Vigeneru-P122P373/GO</t>
  </si>
  <si>
    <t>Marigu-P887P472/AL</t>
  </si>
  <si>
    <t>Lunetotica-H266H778/SP</t>
  </si>
  <si>
    <t>Gopororuco-H879P718/MA</t>
  </si>
  <si>
    <t>Penepate-H727H199/SP</t>
  </si>
  <si>
    <t>Nirarepi-P631P365/AL</t>
  </si>
  <si>
    <t>Tepamo-H912P614/MA</t>
  </si>
  <si>
    <t>Vicolaraga-P972H556/MA</t>
  </si>
  <si>
    <t>Vopufotopa-H798P598/GO</t>
  </si>
  <si>
    <t>Retorareri-P475P597/AL</t>
  </si>
  <si>
    <t>Pedeca-P114P424/MG</t>
  </si>
  <si>
    <t>Nicateca-H762P297/GO</t>
  </si>
  <si>
    <t>Lipidadene-H921P173/MA</t>
  </si>
  <si>
    <t>Parofo-H769P359/RJ</t>
  </si>
  <si>
    <t>Repupedoce-H136P618/GO</t>
  </si>
  <si>
    <t>Metamipo-P922H577/SP</t>
  </si>
  <si>
    <t>Tivopopo-P727P385/SP</t>
  </si>
  <si>
    <t>Puricomuno-P585H694/ES</t>
  </si>
  <si>
    <t>Forepu-H243H153/GO</t>
  </si>
  <si>
    <t>Mutapi-H826P368/SP</t>
  </si>
  <si>
    <t>Rucivira-H667H838/RJ</t>
  </si>
  <si>
    <t>Giritipi-H224P217/GO</t>
  </si>
  <si>
    <t>Tecotitire-P768P732/MA</t>
  </si>
  <si>
    <t>Turedina-P114H888/SP</t>
  </si>
  <si>
    <t>Lameto-P181H582/ES</t>
  </si>
  <si>
    <t>Riduri-P836H527/SP</t>
  </si>
  <si>
    <t>Nurilipute-H816H723/SP</t>
  </si>
  <si>
    <t>Vupicu-P311H214/ES</t>
  </si>
  <si>
    <t>Rituta-H953P941/ES</t>
  </si>
  <si>
    <t>Torifoniru-H731H373/MG</t>
  </si>
  <si>
    <t>Pifivine-P197H737/MA</t>
  </si>
  <si>
    <t>Pamanalacu-H826P234/MG</t>
  </si>
  <si>
    <t>Ledipada-P895P847/AL</t>
  </si>
  <si>
    <t>Nopunemopi-H177P482/MG</t>
  </si>
  <si>
    <t>Gopapopi-H171P491/ES</t>
  </si>
  <si>
    <t>Marocupu-P399H546/RJ</t>
  </si>
  <si>
    <t>Tapepo-H175H963/RJ</t>
  </si>
  <si>
    <t>Lopiroro-H727P522/RJ</t>
  </si>
  <si>
    <t>Napace-P861H917/AL</t>
  </si>
  <si>
    <t>Roponotu-P953H255/AL</t>
  </si>
  <si>
    <t>Panifo-H592P976/AL</t>
  </si>
  <si>
    <t>Vodige-P187H411/MG</t>
  </si>
  <si>
    <t>Renada-H613H354/AL</t>
  </si>
  <si>
    <t>Ticofavuru-P484H532/AL</t>
  </si>
  <si>
    <t>Tuvonomu-H649P381/SP</t>
  </si>
  <si>
    <t>Minuvete-H481H884/GO</t>
  </si>
  <si>
    <t>Vepinipude-P464H243/GO</t>
  </si>
  <si>
    <t>Lodiradopo-P753H347/SP</t>
  </si>
  <si>
    <t>Futurupa-H457P386/AL</t>
  </si>
  <si>
    <t>Gurire-H432H482/MA</t>
  </si>
  <si>
    <t>Figinale-P627P465/MA</t>
  </si>
  <si>
    <t>Cipipo-P871P913/ES</t>
  </si>
  <si>
    <t>Rimupapi-H853P655/SP</t>
  </si>
  <si>
    <t>Tipipavepu-H689P673/SP</t>
  </si>
  <si>
    <t>Golomanute-P698H851/AL</t>
  </si>
  <si>
    <t>Fidefutumo-P178H222/MG</t>
  </si>
  <si>
    <t>Pagupa-H196P245/ES</t>
  </si>
  <si>
    <t>Liripapopo-P524H257/MG</t>
  </si>
  <si>
    <t>Panulu-H816P917/RJ</t>
  </si>
  <si>
    <t>Vapotidu-H454H735/RJ</t>
  </si>
  <si>
    <t>Filave-H694H512/MG</t>
  </si>
  <si>
    <t>Cetaderari-P651H985/MG</t>
  </si>
  <si>
    <t>Gafaculela-P347P286/GO</t>
  </si>
  <si>
    <t>Vetenore-P975H296/RJ</t>
  </si>
  <si>
    <t>Vamoladapu-P371P564/MA</t>
  </si>
  <si>
    <t>Paricavuvo-P544H776/RJ</t>
  </si>
  <si>
    <t>Fetipape-P895H443/MA</t>
  </si>
  <si>
    <t>Cunitetevi-P753P644/MG</t>
  </si>
  <si>
    <t>Rutipitati-H751H866/GO</t>
  </si>
  <si>
    <t>Tutereliro-H596P813/ES</t>
  </si>
  <si>
    <t>Puponapo-P912H546/MG</t>
  </si>
  <si>
    <t>Tedaro-H582H999/MA</t>
  </si>
  <si>
    <t>Tolamupo-H441P452/ES</t>
  </si>
  <si>
    <t>Popifodepa-P699P785/SP</t>
  </si>
  <si>
    <t>Totugeri-H664H593/SP</t>
  </si>
  <si>
    <t>Poruvoma-P189P127/GO</t>
  </si>
  <si>
    <t>Poruritile-P261P484/AL</t>
  </si>
  <si>
    <t>Pagepu-P237H835/GO</t>
  </si>
  <si>
    <t>Gocura-P387P985/MG</t>
  </si>
  <si>
    <t>Cadonimuda-H393H831/MG</t>
  </si>
  <si>
    <t>Corodori-H894P985/GO</t>
  </si>
  <si>
    <t>Pamoce-H138P582/MA</t>
  </si>
  <si>
    <t>Rutaga-P813P966/MA</t>
  </si>
  <si>
    <t>Donarerure-H671P576/AL</t>
  </si>
  <si>
    <t>Cetepo-H992H137/SP</t>
  </si>
  <si>
    <t>Muvuro-P479P431/MG</t>
  </si>
  <si>
    <t>Panefetoro-P236P458/GO</t>
  </si>
  <si>
    <t>Ledaru-H253P245/RJ</t>
  </si>
  <si>
    <t>Talumevi-H183P962/SP</t>
  </si>
  <si>
    <t>Ripafo-H239H272/GO</t>
  </si>
  <si>
    <t>Getepife-P718P482/RJ</t>
  </si>
  <si>
    <t>Gigani-H645P288/SP</t>
  </si>
  <si>
    <t>Taduti-H771P546/AL</t>
  </si>
  <si>
    <t>Muvogi-H686P199/MG</t>
  </si>
  <si>
    <t>Ratepepo-P814P135/AL</t>
  </si>
  <si>
    <t>Roponunude-P272P373/MG</t>
  </si>
  <si>
    <t>Tidoma-P648P217/ES</t>
  </si>
  <si>
    <t>Rupilucaru-H425P114/RJ</t>
  </si>
  <si>
    <t>Pogatire-H888H688/AL</t>
  </si>
  <si>
    <t>Gilirepena-P922H591/RJ</t>
  </si>
  <si>
    <t>Nudero-P729H799/SP</t>
  </si>
  <si>
    <t>Lutepuci-H471H659/RJ</t>
  </si>
  <si>
    <t>Tepifelefi-H827H718/MG</t>
  </si>
  <si>
    <t>Ruraro-H993P899/GO</t>
  </si>
  <si>
    <t>Pepipafide-H693H393/MA</t>
  </si>
  <si>
    <t>Pigulicu-H437H944/ES</t>
  </si>
  <si>
    <t>Nerunatace-P752H842/MA</t>
  </si>
  <si>
    <t>Palamutupu-P722H554/SP</t>
  </si>
  <si>
    <t>Lorapelevo-P829P357/ES</t>
  </si>
  <si>
    <t>Fuvetuna-P679P787/MG</t>
  </si>
  <si>
    <t>Feturo-H218P333/SP</t>
  </si>
  <si>
    <t>Conuvito-P664P639/SP</t>
  </si>
  <si>
    <t>Tirute-H718H765/GO</t>
  </si>
  <si>
    <t>Darofe-P623P243/MA</t>
  </si>
  <si>
    <t>Celila-H742H257/MA</t>
  </si>
  <si>
    <t>Refatoru-H728P923/SP</t>
  </si>
  <si>
    <t>Gelilolo-H212H328/MA</t>
  </si>
  <si>
    <t>Tivupi-P749H635/MG</t>
  </si>
  <si>
    <t>Tepufe-H651H568/MG</t>
  </si>
  <si>
    <t>Tofufalo-P411P497/MG</t>
  </si>
  <si>
    <t>Rarulutapu-P484H971/RJ</t>
  </si>
  <si>
    <t>Dilole-H384P466/MG</t>
  </si>
  <si>
    <t>Duputi-P964H413/ES</t>
  </si>
  <si>
    <t>Tudatile-P622P683/GO</t>
  </si>
  <si>
    <t>Tivipo-H813H644/GO</t>
  </si>
  <si>
    <t>Dufure-H925P759/SP</t>
  </si>
  <si>
    <t>Nirepipi-H641H177/AL</t>
  </si>
  <si>
    <t>Talupiriva-P734P414/RJ</t>
  </si>
  <si>
    <t>Vutipo-H522P259/MG</t>
  </si>
  <si>
    <t>Ripovo-P927P731/SP</t>
  </si>
  <si>
    <t>Ririnape-P228H944/GO</t>
  </si>
  <si>
    <t>Rupedi-P146P219/SP</t>
  </si>
  <si>
    <t>Tunivipuni-H831P729/ES</t>
  </si>
  <si>
    <t>Pucetipi-H387P541/MG</t>
  </si>
  <si>
    <t>Lidicetuni-H558P144/GO</t>
  </si>
  <si>
    <t>Laridupaca-H822H885/MA</t>
  </si>
  <si>
    <t>Rididu-H733P883/RJ</t>
  </si>
  <si>
    <t>Mivutura-H775P462/MG</t>
  </si>
  <si>
    <t>Nopirupeca-H664P645/RJ</t>
  </si>
  <si>
    <t>Rupafa-P174H159/RJ</t>
  </si>
  <si>
    <t>Cotuvopite-P839H947/GO</t>
  </si>
  <si>
    <t>Caveva-H165H999/MA</t>
  </si>
  <si>
    <t>Virini-P124H952/GO</t>
  </si>
  <si>
    <t>Galucota-H937P845/RJ</t>
  </si>
  <si>
    <t>Titote-H279H277/MG</t>
  </si>
  <si>
    <t>Tugotumote-P384H653/ES</t>
  </si>
  <si>
    <t>Tadumopa-P427H781/MG</t>
  </si>
  <si>
    <t>Tadacalu-H325P954/MA</t>
  </si>
  <si>
    <t>Ramupeca-P847H232/AL</t>
  </si>
  <si>
    <t>Pufategi-P627P474/MG</t>
  </si>
  <si>
    <t>Dadifiru-H138H218/SP</t>
  </si>
  <si>
    <t>Galanuvufi-H892P944/SP</t>
  </si>
  <si>
    <t>Nopirofu-H948H918/MG</t>
  </si>
  <si>
    <t>Pogemuca-P444P639/MA</t>
  </si>
  <si>
    <t>Purevu-H354P711/ES</t>
  </si>
  <si>
    <t>Peruface-P121H423/AL</t>
  </si>
  <si>
    <t>Paputiga-P716P743/AL</t>
  </si>
  <si>
    <t>Geravapi-H364P979/SP</t>
  </si>
  <si>
    <t>Vetacocemi-P622H678/MA</t>
  </si>
  <si>
    <t>Gafico-H126P766/ES</t>
  </si>
  <si>
    <t>Ramiro-P658H527/MA</t>
  </si>
  <si>
    <t>Nocuto-P844H378/GO</t>
  </si>
  <si>
    <t>Cerecede-P692P413/RJ</t>
  </si>
  <si>
    <t>Metapagara-P633H927/RJ</t>
  </si>
  <si>
    <t>Petecipu-P929H144/ES</t>
  </si>
  <si>
    <t>Napotade-P254P562/GO</t>
  </si>
  <si>
    <t>Ripeporepu-P498H685/MG</t>
  </si>
  <si>
    <t>Valoretegu-H788P869/ES</t>
  </si>
  <si>
    <t>Cepogevado-P372H953/MA</t>
  </si>
  <si>
    <t>Gilitimepe-P384H318/GO</t>
  </si>
  <si>
    <t>Culide-P397P877/MA</t>
  </si>
  <si>
    <t>Maretidi-P685H225/AL</t>
  </si>
  <si>
    <t>Porofe-H282H737/RJ</t>
  </si>
  <si>
    <t>Piluci-P496H156/GO</t>
  </si>
  <si>
    <t>Rititogo-P944H434/RJ</t>
  </si>
  <si>
    <t>Pupopo-H518H966/MA</t>
  </si>
  <si>
    <t>Virope-P859P477/ES</t>
  </si>
  <si>
    <t>Guluru-H445H819/MA</t>
  </si>
  <si>
    <t>Givido-P723H231/RJ</t>
  </si>
  <si>
    <t>Nufotitage-P444H756/MG</t>
  </si>
  <si>
    <t>Mogurupure-P439P921/GO</t>
  </si>
  <si>
    <t>Punigotafu-P172P334/MA</t>
  </si>
  <si>
    <t>Cimudalipi-H893P286/SP</t>
  </si>
  <si>
    <t>Pinutotu-P867H739/ES</t>
  </si>
  <si>
    <t>Pideputopu-P627P564/SP</t>
  </si>
  <si>
    <t>Patufucici-P146H467/MG</t>
  </si>
  <si>
    <t>Temumufa-H646H892/MA</t>
  </si>
  <si>
    <t>Vutedi-H639P853/MA</t>
  </si>
  <si>
    <t>Furupeto-H481H849/MA</t>
  </si>
  <si>
    <t>Povalo-P747P954/ES</t>
  </si>
  <si>
    <t>Lapogupo-H326H342/SP</t>
  </si>
  <si>
    <t>Rurutipe-P479P914/GO</t>
  </si>
  <si>
    <t>Tipeco-P347P258/MG</t>
  </si>
  <si>
    <t>Panatiti-H433H553/AL</t>
  </si>
  <si>
    <t>Lironi-H951H579/SP</t>
  </si>
  <si>
    <t>Vifitora-H452H859/AL</t>
  </si>
  <si>
    <t>Togofo-H149P651/ES</t>
  </si>
  <si>
    <t>Gumula-H789P133/RJ</t>
  </si>
  <si>
    <t>Rilatepi-H531P357/MG</t>
  </si>
  <si>
    <t>Damira-P734H823/AL</t>
  </si>
  <si>
    <t>Panatite-P113P453/ES</t>
  </si>
  <si>
    <t>Vavofalapu-P159H732/AL</t>
  </si>
  <si>
    <t>Vumotuma-P755P381/GO</t>
  </si>
  <si>
    <t>Codivape-H874P366/ES</t>
  </si>
  <si>
    <t>Purupona-H473H163/MA</t>
  </si>
  <si>
    <t>Gupilu-H543H627/MG</t>
  </si>
  <si>
    <t>Pituri-H146H944/SP</t>
  </si>
  <si>
    <t>Pitolupu-H533P362/GO</t>
  </si>
  <si>
    <t>Vufumano-P375P217/SP</t>
  </si>
  <si>
    <t>Firapecu-P599H157/SP</t>
  </si>
  <si>
    <t>Cagetido-H826H694/MG</t>
  </si>
  <si>
    <t>Potopi-P483P793/RJ</t>
  </si>
  <si>
    <t>Pareto-P888H921/GO</t>
  </si>
  <si>
    <t>Gavonovu-P578P573/ES</t>
  </si>
  <si>
    <t>Narovelo-H859P649/AL</t>
  </si>
  <si>
    <t>Tapiniro-P674P773/AL</t>
  </si>
  <si>
    <t>Rumito-P116H392/GO</t>
  </si>
  <si>
    <t>Tilupuga-P662P242/MG</t>
  </si>
  <si>
    <t>Taputo-P838P613/GO</t>
  </si>
  <si>
    <t>Gipapefo-H377P638/RJ</t>
  </si>
  <si>
    <t>Capupape-H514H316/MA</t>
  </si>
  <si>
    <t>Deregugu-P971H945/ES</t>
  </si>
  <si>
    <t>Rulotoro-P829H916/MA</t>
  </si>
  <si>
    <t>Ticatu-P217H495/SP</t>
  </si>
  <si>
    <t>Cepapipitu-P318P746/ES</t>
  </si>
  <si>
    <t>Vupolevecu-P552P143/MA</t>
  </si>
  <si>
    <t>Pipefofala-P863H331/SP</t>
  </si>
  <si>
    <t>Larofama-H996P989/AL</t>
  </si>
  <si>
    <t>Laralelu-P962H554/MG</t>
  </si>
  <si>
    <t>Menomi-H748H739/SP</t>
  </si>
  <si>
    <t>Pileto-P959P223/GO</t>
  </si>
  <si>
    <t>Capugote-H367P627/RJ</t>
  </si>
  <si>
    <t>Lilupu-P662P591/MG</t>
  </si>
  <si>
    <t>Dunipu-H667H866/AL</t>
  </si>
  <si>
    <t>Tifatu-P763H429/MG</t>
  </si>
  <si>
    <t>Rupotarofo-H612P644/SP</t>
  </si>
  <si>
    <t>Padipo-H131P267/RJ</t>
  </si>
  <si>
    <t>Vinamomepu-P228P946/RJ</t>
  </si>
  <si>
    <t>Nulifinogu-H348H166/RJ</t>
  </si>
  <si>
    <t>Teremo-P966H767/AL</t>
  </si>
  <si>
    <t>Pitoru-P525P882/MA</t>
  </si>
  <si>
    <t>Minupidifi-H847H416/MA</t>
  </si>
  <si>
    <t>Gemeva-H122P979/MA</t>
  </si>
  <si>
    <t>Nocapa-P984H886/MG</t>
  </si>
  <si>
    <t>Girevo-P298H622/MA</t>
  </si>
  <si>
    <t>Nitovi-H262P723/GO</t>
  </si>
  <si>
    <t>Ropepavu-P794P623/MG</t>
  </si>
  <si>
    <t>Rulivepe-H243P969/SP</t>
  </si>
  <si>
    <t>Vipotele-H722H911/ES</t>
  </si>
  <si>
    <t>Tinovera-H315P661/MA</t>
  </si>
  <si>
    <t>Gideporedi-H657P843/AL</t>
  </si>
  <si>
    <t>Dipotifure-H865P536/AL</t>
  </si>
  <si>
    <t>Dupopafe-P937H452/GO</t>
  </si>
  <si>
    <t>Milatipa-P969P983/GO</t>
  </si>
  <si>
    <t>Pupegi-P418H364/MG</t>
  </si>
  <si>
    <t>Lafafa-H664P994/RJ</t>
  </si>
  <si>
    <t>Taputeta-H184H544/GO</t>
  </si>
  <si>
    <t>Lapigonidi-P965H281/MA</t>
  </si>
  <si>
    <t>Narufima-H922P488/SP</t>
  </si>
  <si>
    <t>Gimuvilane-H571H791/SP</t>
  </si>
  <si>
    <t>Tatevopoti-H469H292/AL</t>
  </si>
  <si>
    <t>Pelitugo-P523P849/GO</t>
  </si>
  <si>
    <t>Pifetopu-H996H768/AL</t>
  </si>
  <si>
    <t>Rolovugalo-H796H216/AL</t>
  </si>
  <si>
    <t>Nevala-H577P729/SP</t>
  </si>
  <si>
    <t>Papepote-P442H885/MA</t>
  </si>
  <si>
    <t>Pacufodu-P332P758/ES</t>
  </si>
  <si>
    <t>Daguputore-P212H846/RJ</t>
  </si>
  <si>
    <t>Nocopupemu-H314P939/GO</t>
  </si>
  <si>
    <t>Mecedu-H887P318/GO</t>
  </si>
  <si>
    <t>Dunelunu-P878H426/GO</t>
  </si>
  <si>
    <t>Mumila-H979H673/SP</t>
  </si>
  <si>
    <t>Peratacapo-P793H761/RJ</t>
  </si>
  <si>
    <t>Vicanapo-P672P785/SP</t>
  </si>
  <si>
    <t>Raremo-H625H239/GO</t>
  </si>
  <si>
    <t>Pumegota-H652H135/MG</t>
  </si>
  <si>
    <t>Fetano-P746P796/AL</t>
  </si>
  <si>
    <t>Ratarupute-P665H696/AL</t>
  </si>
  <si>
    <t>Voturo-H764P199/MG</t>
  </si>
  <si>
    <t>Pulepu-P663H246/AL</t>
  </si>
  <si>
    <t>Napuleci-H497P254/MG</t>
  </si>
  <si>
    <t>Pudagiruto-H285H135/AL</t>
  </si>
  <si>
    <t>Pumetu-P797H316/AL</t>
  </si>
  <si>
    <t>Navimu-P563H755/AL</t>
  </si>
  <si>
    <t>Licapiro-H948H323/MA</t>
  </si>
  <si>
    <t>Roracugi-H489P126/AL</t>
  </si>
  <si>
    <t>Rudapope-P233H124/RJ</t>
  </si>
  <si>
    <t>Gutepocema-P415P692/SP</t>
  </si>
  <si>
    <t>Garigove-P386P897/ES</t>
  </si>
  <si>
    <t>Tevalucicu-P661P972/AL</t>
  </si>
  <si>
    <t>Camonofa-H834P831/AL</t>
  </si>
  <si>
    <t>Cuveve-H388H285/MA</t>
  </si>
  <si>
    <t>Muripufure-P847P469/AL</t>
  </si>
  <si>
    <t>Lococufime-H191H874/MG</t>
  </si>
  <si>
    <t>Raruco-P323H956/MG</t>
  </si>
  <si>
    <t>Ramifavedu-P456H529/SP</t>
  </si>
  <si>
    <t>Temufiru-P956P793/GO</t>
  </si>
  <si>
    <t>Generu-P997P968/MG</t>
  </si>
  <si>
    <t>Molome-H126H571/ES</t>
  </si>
  <si>
    <t>Tedovelado-P644H759/MG</t>
  </si>
  <si>
    <t>Tapuvogoni-H732P563/GO</t>
  </si>
  <si>
    <t>Neticala-P449H836/AL</t>
  </si>
  <si>
    <t>Pitofudo-P167H591/SP</t>
  </si>
  <si>
    <t>Picamu-H536H244/MA</t>
  </si>
  <si>
    <t>Vaconace-P374H313/MA</t>
  </si>
  <si>
    <t>Vanifo-P541P445/ES</t>
  </si>
  <si>
    <t>Punaroguti-H456H418/GO</t>
  </si>
  <si>
    <t>Timeru-H883P899/MG</t>
  </si>
  <si>
    <t>Putona-H214P711/RJ</t>
  </si>
  <si>
    <t>Mimura-P711H943/RJ</t>
  </si>
  <si>
    <t>Ditodu-P139P865/MA</t>
  </si>
  <si>
    <t>Mifuto-P923H698/MG</t>
  </si>
  <si>
    <t>Tafiladave-H725P599/GO</t>
  </si>
  <si>
    <t>Copope-H167H181/AL</t>
  </si>
  <si>
    <t>Popepu-P459H176/MG</t>
  </si>
  <si>
    <t>Rolaru-H999H727/RJ</t>
  </si>
  <si>
    <t>Pararupu-P352H717/MA</t>
  </si>
  <si>
    <t>Civodu-H693P326/RJ</t>
  </si>
  <si>
    <t>Rolapepuda-H532H745/AL</t>
  </si>
  <si>
    <t>Tatanu-P787H173/ES</t>
  </si>
  <si>
    <t>Ruregici-H766H676/AL</t>
  </si>
  <si>
    <t>Tipono-P722H897/ES</t>
  </si>
  <si>
    <t>Rolifide-P629P957/MG</t>
  </si>
  <si>
    <t>Govodata-H183H659/MG</t>
  </si>
  <si>
    <t>Muriroti-P617P337/MG</t>
  </si>
  <si>
    <t>Goranenire-H437H273/SP</t>
  </si>
  <si>
    <t>Lovola-P264H276/AL</t>
  </si>
  <si>
    <t>Padacanuvo-P596H154/MG</t>
  </si>
  <si>
    <t>Pifonomegi-H975P179/MG</t>
  </si>
  <si>
    <t>Tatepoti-P583P428/GO</t>
  </si>
  <si>
    <t>Reripu-H854H739/MA</t>
  </si>
  <si>
    <t>Niceto-H549H312/SP</t>
  </si>
  <si>
    <t>Tonapava-P299P134/GO</t>
  </si>
  <si>
    <t>Torino-H694P481/MA</t>
  </si>
  <si>
    <t>Tetumi-P437H667/AL</t>
  </si>
  <si>
    <t>Tutitulile-H346P161/SP</t>
  </si>
  <si>
    <t>Dopadamelu-P944P685/GO</t>
  </si>
  <si>
    <t>Rinuninupo-P849P773/MG</t>
  </si>
  <si>
    <t>Mutaropa-H753H743/SP</t>
  </si>
  <si>
    <t>Ropaperatu-P913H289/GO</t>
  </si>
  <si>
    <t>Docapo-H512P662/MG</t>
  </si>
  <si>
    <t>Famufe-P571P527/AL</t>
  </si>
  <si>
    <t>Tolatifope-H412P837/MA</t>
  </si>
  <si>
    <t>Vepupapa-P697P922/AL</t>
  </si>
  <si>
    <t>Rironegi-H459H423/RJ</t>
  </si>
  <si>
    <t>Lifutogime-P494H558/MA</t>
  </si>
  <si>
    <t>Cipomo-H224P229/GO</t>
  </si>
  <si>
    <t>Vigopurutu-H776P365/MA</t>
  </si>
  <si>
    <t>Pelunicupu-P467P841/ES</t>
  </si>
  <si>
    <t>Ripuru-H371P855/GO</t>
  </si>
  <si>
    <t>Mucilitire-H498H238/AL</t>
  </si>
  <si>
    <t>Rapotopi-H689P945/RJ</t>
  </si>
  <si>
    <t>Tuvife-H726H325/SP</t>
  </si>
  <si>
    <t>Rufotumapi-P936H911/AL</t>
  </si>
  <si>
    <t>Pecuropelu-H236H877/MG</t>
  </si>
  <si>
    <t>Teregi-H371P465/AL</t>
  </si>
  <si>
    <t>Marofacavo-H813H463/MA</t>
  </si>
  <si>
    <t>Rupamomepo-H668H498/ES</t>
  </si>
  <si>
    <t>Gocale-P572H758/MG</t>
  </si>
  <si>
    <t>Galunapu-H355H819/AL</t>
  </si>
  <si>
    <t>Potutamece-H578H392/GO</t>
  </si>
  <si>
    <t>Rovori-P918H812/MA</t>
  </si>
  <si>
    <t>Fipulepapa-H412H122/RJ</t>
  </si>
  <si>
    <t>Tovicipe-P471P397/RJ</t>
  </si>
  <si>
    <t>Cerare-H945P214/MG</t>
  </si>
  <si>
    <t>Pegama-H118P468/GO</t>
  </si>
  <si>
    <t>Tovipu-H966P977/ES</t>
  </si>
  <si>
    <t>Nopono-H835P991/GO</t>
  </si>
  <si>
    <t>Cepopume-H274H582/ES</t>
  </si>
  <si>
    <t>Tepira-H865H735/MA</t>
  </si>
  <si>
    <t>Gotipomute-P692P356/MG</t>
  </si>
  <si>
    <t>Cofope-H836P281/AL</t>
  </si>
  <si>
    <t>Parilevu-H994P121/AL</t>
  </si>
  <si>
    <t>Pupoto-P836P985/AL</t>
  </si>
  <si>
    <t>Mocuvu-P646H464/MG</t>
  </si>
  <si>
    <t>Pometo-H329P744/MG</t>
  </si>
  <si>
    <t>Tatopafu-H183P481/ES</t>
  </si>
  <si>
    <t>Racefevi-H446P233/ES</t>
  </si>
  <si>
    <t>Temidi-P498P933/GO</t>
  </si>
  <si>
    <t>Rocuceruci-P191P291/MA</t>
  </si>
  <si>
    <t>Temotonone-H388H986/SP</t>
  </si>
  <si>
    <t>Pofome-H483P515/MG</t>
  </si>
  <si>
    <t>Mopolime-H268H158/AL</t>
  </si>
  <si>
    <t>Taropada-H688P476/MA</t>
  </si>
  <si>
    <t>Dipovativo-P966H113/ES</t>
  </si>
  <si>
    <t>Nepira-H887P957/AL</t>
  </si>
  <si>
    <t>Felaceno-H366P418/RJ</t>
  </si>
  <si>
    <t>Mavovici-H882H156/MA</t>
  </si>
  <si>
    <t>Gutelofoto-H952H325/RJ</t>
  </si>
  <si>
    <t>Dipodo-P376H483/GO</t>
  </si>
  <si>
    <t>Famufupe-H775P123/AL</t>
  </si>
  <si>
    <t>Dupodopu-H644P723/MG</t>
  </si>
  <si>
    <t>Ridalavove-P157H499/MA</t>
  </si>
  <si>
    <t>Palicu-H885H563/AL</t>
  </si>
  <si>
    <t>Valime-H918P616/MA</t>
  </si>
  <si>
    <t>Cofogetato-P754H458/AL</t>
  </si>
  <si>
    <t>Fopugufidi-H892P386/GO</t>
  </si>
  <si>
    <t>Dupunutu-H166P663/ES</t>
  </si>
  <si>
    <t>Pufitutidu-P277P698/GO</t>
  </si>
  <si>
    <t>Lupeli-H937H135/ES</t>
  </si>
  <si>
    <t>Toradapu-P876P591/RJ</t>
  </si>
  <si>
    <t>Dufemidego-P213H321/MG</t>
  </si>
  <si>
    <t>Motonati-P979H356/RJ</t>
  </si>
  <si>
    <t>Gacode-H391H958/AL</t>
  </si>
  <si>
    <t>Pitufotoga-P194P584/RJ</t>
  </si>
  <si>
    <t>Tigepomupe-H546P146/GO</t>
  </si>
  <si>
    <t>Pimivefipa-H853P914/MA</t>
  </si>
  <si>
    <t>Napefalucu-H262P333/GO</t>
  </si>
  <si>
    <t>Lecime-P817P636/ES</t>
  </si>
  <si>
    <t>Gorani-P331H938/MG</t>
  </si>
  <si>
    <t>Ponava-P855P273/RJ</t>
  </si>
  <si>
    <t>Fepapiteci-P439H526/ES</t>
  </si>
  <si>
    <t>Tivaru-H688P619/MA</t>
  </si>
  <si>
    <t>Tanica-H194P712/RJ</t>
  </si>
  <si>
    <t>Tarura-P373P773/GO</t>
  </si>
  <si>
    <t>Fatuponafa-H979P574/SP</t>
  </si>
  <si>
    <t>Tapipa-P782H188/SP</t>
  </si>
  <si>
    <t>Pirepa-H948H984/ES</t>
  </si>
  <si>
    <t>Manonerepo-H363H285/AL</t>
  </si>
  <si>
    <t>Vunutovo-P186H447/SP</t>
  </si>
  <si>
    <t>Lucogipi-H253P598/ES</t>
  </si>
  <si>
    <t>Pilorune-H759H792/GO</t>
  </si>
  <si>
    <t>Piralu-H614H456/RJ</t>
  </si>
  <si>
    <t>Palucipu-P762P889/MG</t>
  </si>
  <si>
    <t>Vulera-P251P444/GO</t>
  </si>
  <si>
    <t>Dunilotica-P742H183/SP</t>
  </si>
  <si>
    <t>Mitipere-P526P552/ES</t>
  </si>
  <si>
    <t>Titumuno-P447P367/RJ</t>
  </si>
  <si>
    <t>Rogemogere-H929P936/MA</t>
  </si>
  <si>
    <t>Ropiramero-H366H154/MG</t>
  </si>
  <si>
    <t>Varanoga-H127H198/GO</t>
  </si>
  <si>
    <t>Fipocofo-P136H643/ES</t>
  </si>
  <si>
    <t>Pocevaru-H419H366/MG</t>
  </si>
  <si>
    <t>Pitupo-H168P867/RJ</t>
  </si>
  <si>
    <t>Denatopudi-P555P166/ES</t>
  </si>
  <si>
    <t>Norurali-P991P641/GO</t>
  </si>
  <si>
    <t>Ravodopalo-P341P655/SP</t>
  </si>
  <si>
    <t>Gofela-P126H935/MA</t>
  </si>
  <si>
    <t>Patipofe-P344P218/RJ</t>
  </si>
  <si>
    <t>Pocaperape-H255H335/MA</t>
  </si>
  <si>
    <t>Mefuvi-P877P284/SP</t>
  </si>
  <si>
    <t>Napuferolo-H711P875/AL</t>
  </si>
  <si>
    <t>Relacatame-H984P282/MG</t>
  </si>
  <si>
    <t>Fefelicadu-P323P522/MG</t>
  </si>
  <si>
    <t>Rupuvapatu-P848P285/ES</t>
  </si>
  <si>
    <t>Titiponacu-H928P582/RJ</t>
  </si>
  <si>
    <t>Remafafopo-H929P163/AL</t>
  </si>
  <si>
    <t>Meludetati-P645P764/AL</t>
  </si>
  <si>
    <t>Tutodigeca-P942H837/MA</t>
  </si>
  <si>
    <t>Vigipepave-P185H769/RJ</t>
  </si>
  <si>
    <t>Tapomu-H656H135/SP</t>
  </si>
  <si>
    <t>Pugarire-P261P539/AL</t>
  </si>
  <si>
    <t>Rupaforuga-H944H462/MG</t>
  </si>
  <si>
    <t>Tufepamo-P144P463/MA</t>
  </si>
  <si>
    <t>Cotineva-H372P868/GO</t>
  </si>
  <si>
    <t>Totupiduvo-H432H579/SP</t>
  </si>
  <si>
    <t>Puretecu-H633H141/SP</t>
  </si>
  <si>
    <t>Tufupote-P483P726/AL</t>
  </si>
  <si>
    <t>Pifadicufu-P635H755/SP</t>
  </si>
  <si>
    <t>Patelopumi-P918P663/MG</t>
  </si>
  <si>
    <t>Feporedepi-H456P244/MA</t>
  </si>
  <si>
    <t>Tiduvife-H891P434/MG</t>
  </si>
  <si>
    <t>Rirapimapi-P463H252/MA</t>
  </si>
  <si>
    <t>Regopa-H728P726/RJ</t>
  </si>
  <si>
    <t>Tepuce-P948H843/ES</t>
  </si>
  <si>
    <t>Rapita-P923P688/SP</t>
  </si>
  <si>
    <t>Rotitatimi-H254H999/MG</t>
  </si>
  <si>
    <t>Merele-H955P819/RJ</t>
  </si>
  <si>
    <t>Purarufuci-H462H564/ES</t>
  </si>
  <si>
    <t>Telivida-H774P356/GO</t>
  </si>
  <si>
    <t>Mopadu-H472H571/GO</t>
  </si>
  <si>
    <t>Cefarudo-H631P276/GO</t>
  </si>
  <si>
    <t>Tudumafanu-H618H259/MG</t>
  </si>
  <si>
    <t>Pimora-P339H873/MG</t>
  </si>
  <si>
    <t>Novopolula-P227H224/GO</t>
  </si>
  <si>
    <t>Feponunoro-H746P959/GO</t>
  </si>
  <si>
    <t>Legupanova-H776H733/MG</t>
  </si>
  <si>
    <t>Depuladecu-H241P647/RJ</t>
  </si>
  <si>
    <t>Puretopelo-P556H324/RJ</t>
  </si>
  <si>
    <t>Timica-H519P669/RJ</t>
  </si>
  <si>
    <t>Legepolo-H265H291/RJ</t>
  </si>
  <si>
    <t>Pefuvo-P882H391/MA</t>
  </si>
  <si>
    <t>Pufepula-P233H844/MG</t>
  </si>
  <si>
    <t>Lirepa-H477P638/AL</t>
  </si>
  <si>
    <t>Poceri-P144H988/RJ</t>
  </si>
  <si>
    <t>Nurotafito-P442H719/SP</t>
  </si>
  <si>
    <t>Vinilaceri-H333P992/SP</t>
  </si>
  <si>
    <t>Vicupupa-H369H177/ES</t>
  </si>
  <si>
    <t>Mudepopa-H744H755/MA</t>
  </si>
  <si>
    <t>Gamuvuro-P514H711/MG</t>
  </si>
  <si>
    <t>Porucidafi-H264H964/GO</t>
  </si>
  <si>
    <t>Recoruguli-H995H517/MA</t>
  </si>
  <si>
    <t>Pupenupuci-H469H214/GO</t>
  </si>
  <si>
    <t>Vatini-H656P417/MG</t>
  </si>
  <si>
    <t>Papefe-P739H335/AL</t>
  </si>
  <si>
    <t>Camupe-H833H316/GO</t>
  </si>
  <si>
    <t>Pilipopepa-H364H561/MA</t>
  </si>
  <si>
    <t>Padutafe-P438P496/RJ</t>
  </si>
  <si>
    <t>Vovocanele-H751H657/RJ</t>
  </si>
  <si>
    <t>Vinitapa-P138P963/MA</t>
  </si>
  <si>
    <t>Paruvege-P141H731/GO</t>
  </si>
  <si>
    <t>Duvopo-P441P471/GO</t>
  </si>
  <si>
    <t>Dunora-H878H725/RJ</t>
  </si>
  <si>
    <t>Lotopu-H111P149/GO</t>
  </si>
  <si>
    <t>Teriliro-H962H791/AL</t>
  </si>
  <si>
    <t>Napulu-P953P924/AL</t>
  </si>
  <si>
    <t>Tipipe-P535H895/RJ</t>
  </si>
  <si>
    <t>Romagepira-P464P755/RJ</t>
  </si>
  <si>
    <t>Modupode-H874P213/RJ</t>
  </si>
  <si>
    <t>Depuvo-H236H529/AL</t>
  </si>
  <si>
    <t>Tilipamuru-P359P385/ES</t>
  </si>
  <si>
    <t>Volapa-H962H636/RJ</t>
  </si>
  <si>
    <t>Tepeta-H638P635/GO</t>
  </si>
  <si>
    <t>Putunu-P643P538/GO</t>
  </si>
  <si>
    <t>Rerugepi-P464P584/MG</t>
  </si>
  <si>
    <t>Dipali-H682H513/ES</t>
  </si>
  <si>
    <t>Rupofefu-H493H738/AL</t>
  </si>
  <si>
    <t>Vutarimara-P577H565/AL</t>
  </si>
  <si>
    <t>Litetofadi-P484H525/ES</t>
  </si>
  <si>
    <t>Gometipu-H384P723/GO</t>
  </si>
  <si>
    <t>Dimuvime-H596P577/RJ</t>
  </si>
  <si>
    <t>Cupara-P724P994/SP</t>
  </si>
  <si>
    <t>Togupori-H947P779/GO</t>
  </si>
  <si>
    <t>Ciculi-H719P191/MA</t>
  </si>
  <si>
    <t>Poputa-P347H837/MA</t>
  </si>
  <si>
    <t>Poruritimi-P563P261/MG</t>
  </si>
  <si>
    <t>Comecope-P551H135/AL</t>
  </si>
  <si>
    <t>Pilipudutu-H377H966/GO</t>
  </si>
  <si>
    <t>Teludife-H721P935/MG</t>
  </si>
  <si>
    <t>Dipumu-H429P414/MA</t>
  </si>
  <si>
    <t>Tapavucome-P182P543/MG</t>
  </si>
  <si>
    <t>Toperuvutu-P577P867/AL</t>
  </si>
  <si>
    <t>Gipuri-P461H612/ES</t>
  </si>
  <si>
    <t>Docimepepo-P276P477/ES</t>
  </si>
  <si>
    <t>Austrália - 1007</t>
  </si>
  <si>
    <t>Austrália - R$71.102.637</t>
  </si>
  <si>
    <t>Urgente e caro</t>
  </si>
  <si>
    <t>Urgente</t>
  </si>
  <si>
    <t>Pendente e caro</t>
  </si>
  <si>
    <t>Pendente</t>
  </si>
  <si>
    <t>Não prioritário</t>
  </si>
  <si>
    <t>Validade até 31/12/2025</t>
  </si>
  <si>
    <t>Validade entre 2026 e 2028</t>
  </si>
  <si>
    <t>Validade a partir de 2029</t>
  </si>
  <si>
    <t>&gt;50.000</t>
  </si>
  <si>
    <t>&lt;=50.000</t>
  </si>
  <si>
    <t>&gt;50000</t>
  </si>
  <si>
    <t>Urgência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</si>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</sst>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&quot;R$&quot;\ #,##0"/>
    <numFmt numFmtId="166" formatCode="&quot;R$&quot;#,##0.00"/>
    <numFmt numFmtId="167" formatCode="_-* #,##0_-;\-* #,##0_-;_-* &quot;-&quot;??_-;_-@_-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212529"/>
      <name val="Arial"/>
      <family val="2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4" xfId="0" applyBorder="1"/>
    <xf numFmtId="0" fontId="0" fillId="2" borderId="4" xfId="0" applyFill="1" applyBorder="1"/>
    <xf numFmtId="0" fontId="1" fillId="0" borderId="4" xfId="0" applyFont="1" applyBorder="1" applyAlignment="1">
      <alignment horizontal="center"/>
    </xf>
    <xf numFmtId="0" fontId="0" fillId="3" borderId="4" xfId="0" applyFill="1" applyBorder="1"/>
    <xf numFmtId="14" fontId="0" fillId="2" borderId="4" xfId="0" applyNumberFormat="1" applyFill="1" applyBorder="1"/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4" xfId="0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9" borderId="0" xfId="0" applyFill="1"/>
    <xf numFmtId="0" fontId="0" fillId="0" borderId="0" xfId="0" applyAlignment="1">
      <alignment horizontal="right"/>
    </xf>
    <xf numFmtId="0" fontId="5" fillId="10" borderId="5" xfId="0" applyFont="1" applyFill="1" applyBorder="1" applyAlignment="1">
      <alignment vertical="center" textRotation="255"/>
    </xf>
    <xf numFmtId="0" fontId="4" fillId="10" borderId="5" xfId="0" applyFont="1" applyFill="1" applyBorder="1"/>
    <xf numFmtId="0" fontId="5" fillId="10" borderId="8" xfId="0" applyFont="1" applyFill="1" applyBorder="1" applyAlignment="1">
      <alignment vertical="center" textRotation="255"/>
    </xf>
    <xf numFmtId="0" fontId="4" fillId="10" borderId="9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0" fillId="5" borderId="4" xfId="0" applyFill="1" applyBorder="1"/>
    <xf numFmtId="166" fontId="0" fillId="5" borderId="4" xfId="0" applyNumberFormat="1" applyFill="1" applyBorder="1"/>
    <xf numFmtId="166" fontId="0" fillId="5" borderId="1" xfId="0" applyNumberFormat="1" applyFill="1" applyBorder="1"/>
    <xf numFmtId="166" fontId="0" fillId="5" borderId="3" xfId="0" applyNumberFormat="1" applyFill="1" applyBorder="1"/>
    <xf numFmtId="166" fontId="0" fillId="0" borderId="0" xfId="0" applyNumberFormat="1"/>
    <xf numFmtId="166" fontId="0" fillId="0" borderId="2" xfId="0" applyNumberFormat="1" applyBorder="1"/>
    <xf numFmtId="0" fontId="0" fillId="8" borderId="4" xfId="0" applyFill="1" applyBorder="1"/>
    <xf numFmtId="166" fontId="0" fillId="8" borderId="4" xfId="0" applyNumberFormat="1" applyFill="1" applyBorder="1"/>
    <xf numFmtId="166" fontId="0" fillId="8" borderId="1" xfId="0" applyNumberFormat="1" applyFill="1" applyBorder="1"/>
    <xf numFmtId="166" fontId="0" fillId="8" borderId="3" xfId="0" applyNumberFormat="1" applyFill="1" applyBorder="1"/>
    <xf numFmtId="166" fontId="0" fillId="8" borderId="4" xfId="0" quotePrefix="1" applyNumberFormat="1" applyFill="1" applyBorder="1"/>
    <xf numFmtId="166" fontId="1" fillId="8" borderId="4" xfId="0" applyNumberFormat="1" applyFont="1" applyFill="1" applyBorder="1"/>
    <xf numFmtId="166" fontId="1" fillId="0" borderId="0" xfId="0" applyNumberFormat="1" applyFont="1"/>
    <xf numFmtId="44" fontId="0" fillId="0" borderId="0" xfId="0" applyNumberFormat="1"/>
    <xf numFmtId="44" fontId="0" fillId="0" borderId="2" xfId="0" applyNumberFormat="1" applyBorder="1"/>
    <xf numFmtId="0" fontId="0" fillId="7" borderId="4" xfId="0" applyFill="1" applyBorder="1"/>
    <xf numFmtId="164" fontId="0" fillId="7" borderId="4" xfId="0" applyNumberFormat="1" applyFill="1" applyBorder="1"/>
    <xf numFmtId="0" fontId="0" fillId="7" borderId="5" xfId="0" applyFill="1" applyBorder="1"/>
    <xf numFmtId="164" fontId="0" fillId="7" borderId="5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  <xf numFmtId="0" fontId="0" fillId="7" borderId="9" xfId="0" applyFill="1" applyBorder="1"/>
    <xf numFmtId="164" fontId="0" fillId="7" borderId="9" xfId="0" applyNumberFormat="1" applyFill="1" applyBorder="1"/>
    <xf numFmtId="17" fontId="0" fillId="0" borderId="0" xfId="0" applyNumberFormat="1"/>
    <xf numFmtId="167" fontId="0" fillId="0" borderId="0" xfId="1" applyNumberFormat="1" applyFont="1"/>
    <xf numFmtId="8" fontId="0" fillId="0" borderId="0" xfId="0" applyNumberFormat="1"/>
    <xf numFmtId="44" fontId="0" fillId="0" borderId="0" xfId="2" applyFont="1"/>
    <xf numFmtId="164" fontId="0" fillId="0" borderId="0" xfId="2" applyNumberFormat="1" applyFont="1" applyBorder="1"/>
    <xf numFmtId="4" fontId="0" fillId="0" borderId="0" xfId="0" applyNumberFormat="1"/>
    <xf numFmtId="10" fontId="0" fillId="0" borderId="0" xfId="0" applyNumberFormat="1"/>
    <xf numFmtId="1" fontId="0" fillId="0" borderId="0" xfId="0" applyNumberFormat="1"/>
    <xf numFmtId="164" fontId="0" fillId="0" borderId="0" xfId="2" applyNumberFormat="1" applyFont="1"/>
    <xf numFmtId="164" fontId="7" fillId="0" borderId="0" xfId="4" applyNumberFormat="1"/>
    <xf numFmtId="10" fontId="0" fillId="0" borderId="0" xfId="3" applyNumberFormat="1" applyFont="1"/>
    <xf numFmtId="164" fontId="0" fillId="0" borderId="0" xfId="0" quotePrefix="1" applyNumberFormat="1"/>
    <xf numFmtId="2" fontId="0" fillId="0" borderId="0" xfId="0" applyNumberFormat="1"/>
    <xf numFmtId="43" fontId="0" fillId="0" borderId="0" xfId="1" applyFont="1"/>
    <xf numFmtId="164" fontId="0" fillId="0" borderId="0" xfId="3" applyNumberFormat="1" applyFont="1"/>
    <xf numFmtId="0" fontId="8" fillId="0" borderId="0" xfId="0" applyFont="1"/>
    <xf numFmtId="164" fontId="1" fillId="0" borderId="0" xfId="0" applyNumberFormat="1" applyFont="1"/>
    <xf numFmtId="16" fontId="0" fillId="0" borderId="0" xfId="0" applyNumberFormat="1"/>
    <xf numFmtId="167" fontId="0" fillId="0" borderId="0" xfId="0" applyNumberFormat="1"/>
    <xf numFmtId="4" fontId="8" fillId="0" borderId="0" xfId="0" applyNumberFormat="1" applyFont="1"/>
    <xf numFmtId="0" fontId="9" fillId="0" borderId="0" xfId="0" applyFont="1"/>
    <xf numFmtId="43" fontId="0" fillId="0" borderId="0" xfId="0" applyNumberFormat="1"/>
    <xf numFmtId="164" fontId="0" fillId="0" borderId="4" xfId="2" applyNumberFormat="1" applyFont="1" applyBorder="1"/>
    <xf numFmtId="0" fontId="4" fillId="11" borderId="0" xfId="0" applyFont="1" applyFill="1"/>
    <xf numFmtId="0" fontId="4" fillId="11" borderId="4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165" fontId="0" fillId="0" borderId="0" xfId="0" applyNumberFormat="1"/>
    <xf numFmtId="0" fontId="0" fillId="14" borderId="0" xfId="0" applyFill="1"/>
    <xf numFmtId="14" fontId="0" fillId="14" borderId="0" xfId="0" applyNumberFormat="1" applyFill="1"/>
    <xf numFmtId="165" fontId="0" fillId="14" borderId="0" xfId="0" applyNumberFormat="1" applyFill="1"/>
    <xf numFmtId="0" fontId="10" fillId="15" borderId="0" xfId="0" applyFont="1" applyFill="1"/>
    <xf numFmtId="14" fontId="10" fillId="15" borderId="0" xfId="0" applyNumberFormat="1" applyFont="1" applyFill="1"/>
    <xf numFmtId="165" fontId="10" fillId="15" borderId="0" xfId="0" applyNumberFormat="1" applyFont="1" applyFill="1"/>
    <xf numFmtId="0" fontId="10" fillId="14" borderId="0" xfId="0" applyFont="1" applyFill="1"/>
    <xf numFmtId="0" fontId="10" fillId="0" borderId="0" xfId="0" applyFont="1"/>
    <xf numFmtId="164" fontId="0" fillId="0" borderId="4" xfId="0" applyNumberFormat="1" applyBorder="1"/>
    <xf numFmtId="165" fontId="0" fillId="2" borderId="4" xfId="0" applyNumberForma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4" fontId="0" fillId="8" borderId="0" xfId="0" applyNumberFormat="1" applyFill="1"/>
    <xf numFmtId="0" fontId="0" fillId="0" borderId="4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textRotation="255"/>
    </xf>
    <xf numFmtId="0" fontId="0" fillId="7" borderId="5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17" fontId="4" fillId="10" borderId="1" xfId="0" applyNumberFormat="1" applyFont="1" applyFill="1" applyBorder="1" applyAlignment="1">
      <alignment horizontal="center"/>
    </xf>
    <xf numFmtId="17" fontId="4" fillId="10" borderId="2" xfId="0" applyNumberFormat="1" applyFont="1" applyFill="1" applyBorder="1" applyAlignment="1">
      <alignment horizontal="center"/>
    </xf>
    <xf numFmtId="17" fontId="4" fillId="10" borderId="3" xfId="0" applyNumberFormat="1" applyFont="1" applyFill="1" applyBorder="1" applyAlignment="1">
      <alignment horizontal="center"/>
    </xf>
    <xf numFmtId="17" fontId="4" fillId="10" borderId="6" xfId="0" applyNumberFormat="1" applyFont="1" applyFill="1" applyBorder="1" applyAlignment="1">
      <alignment horizontal="center"/>
    </xf>
    <xf numFmtId="17" fontId="4" fillId="10" borderId="7" xfId="0" applyNumberFormat="1" applyFont="1" applyFill="1" applyBorder="1" applyAlignment="1">
      <alignment horizontal="center"/>
    </xf>
    <xf numFmtId="17" fontId="4" fillId="1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2" applyNumberFormat="1" applyFont="1" applyFill="1" applyBorder="1" applyAlignment="1">
      <alignment horizontal="center"/>
    </xf>
    <xf numFmtId="164" fontId="0" fillId="16" borderId="5" xfId="0" applyNumberFormat="1" applyFill="1" applyBorder="1"/>
    <xf numFmtId="164" fontId="0" fillId="17" borderId="5" xfId="0" applyNumberFormat="1" applyFill="1" applyBorder="1"/>
    <xf numFmtId="164" fontId="0" fillId="9" borderId="5" xfId="0" applyNumberFormat="1" applyFill="1" applyBorder="1"/>
    <xf numFmtId="0" fontId="4" fillId="18" borderId="0" xfId="0" applyFont="1" applyFill="1" applyAlignment="1">
      <alignment horizontal="center"/>
    </xf>
    <xf numFmtId="165" fontId="0" fillId="0" borderId="4" xfId="0" applyNumberFormat="1" applyBorder="1" applyAlignment="1">
      <alignment horizontal="center"/>
    </xf>
    <xf numFmtId="0" fontId="10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64" formatCode="&quot;R$&quot;\ #,##0.0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6" tint="0.39994506668294322"/>
      </font>
      <fill>
        <patternFill>
          <bgColor rgb="FFFFC7CE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&quot;R$&quot;\ #,##0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141514</xdr:rowOff>
    </xdr:from>
    <xdr:to>
      <xdr:col>7</xdr:col>
      <xdr:colOff>333375</xdr:colOff>
      <xdr:row>74</xdr:row>
      <xdr:rowOff>143435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2C2FF5F-286F-4E1F-B411-FEF3F64AE46C}"/>
            </a:ext>
          </a:extLst>
        </xdr:cNvPr>
        <xdr:cNvCxnSpPr/>
      </xdr:nvCxnSpPr>
      <xdr:spPr>
        <a:xfrm>
          <a:off x="6151469" y="141514"/>
          <a:ext cx="0" cy="132696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96981</xdr:colOff>
      <xdr:row>0</xdr:row>
      <xdr:rowOff>131619</xdr:rowOff>
    </xdr:from>
    <xdr:to>
      <xdr:col>1</xdr:col>
      <xdr:colOff>439881</xdr:colOff>
      <xdr:row>2</xdr:row>
      <xdr:rowOff>100447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4909F8F5-FA55-4CC0-87A6-AFBC68C861DE}"/>
            </a:ext>
          </a:extLst>
        </xdr:cNvPr>
        <xdr:cNvSpPr/>
      </xdr:nvSpPr>
      <xdr:spPr>
        <a:xfrm>
          <a:off x="135081" y="131619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107373</xdr:colOff>
      <xdr:row>3</xdr:row>
      <xdr:rowOff>173181</xdr:rowOff>
    </xdr:from>
    <xdr:to>
      <xdr:col>2</xdr:col>
      <xdr:colOff>6928</xdr:colOff>
      <xdr:row>5</xdr:row>
      <xdr:rowOff>142008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09F9ACA-C48A-4B53-AB58-8ED3693C7EEB}"/>
            </a:ext>
          </a:extLst>
        </xdr:cNvPr>
        <xdr:cNvSpPr/>
      </xdr:nvSpPr>
      <xdr:spPr>
        <a:xfrm>
          <a:off x="145473" y="723899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</xdr:col>
      <xdr:colOff>110837</xdr:colOff>
      <xdr:row>10</xdr:row>
      <xdr:rowOff>152400</xdr:rowOff>
    </xdr:from>
    <xdr:to>
      <xdr:col>2</xdr:col>
      <xdr:colOff>10392</xdr:colOff>
      <xdr:row>12</xdr:row>
      <xdr:rowOff>121227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980DBC3B-AF8A-4D8E-89F7-CA48FEB72CF3}"/>
            </a:ext>
          </a:extLst>
        </xdr:cNvPr>
        <xdr:cNvSpPr/>
      </xdr:nvSpPr>
      <xdr:spPr>
        <a:xfrm>
          <a:off x="148937" y="1988127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</xdr:col>
      <xdr:colOff>110836</xdr:colOff>
      <xdr:row>13</xdr:row>
      <xdr:rowOff>152400</xdr:rowOff>
    </xdr:from>
    <xdr:to>
      <xdr:col>2</xdr:col>
      <xdr:colOff>10391</xdr:colOff>
      <xdr:row>15</xdr:row>
      <xdr:rowOff>121227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AE15F8A4-41DD-4D9E-8D01-5E54FB3589A2}"/>
            </a:ext>
          </a:extLst>
        </xdr:cNvPr>
        <xdr:cNvSpPr/>
      </xdr:nvSpPr>
      <xdr:spPr>
        <a:xfrm>
          <a:off x="148936" y="2538845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1</xdr:col>
      <xdr:colOff>114300</xdr:colOff>
      <xdr:row>15</xdr:row>
      <xdr:rowOff>169719</xdr:rowOff>
    </xdr:from>
    <xdr:to>
      <xdr:col>2</xdr:col>
      <xdr:colOff>13855</xdr:colOff>
      <xdr:row>17</xdr:row>
      <xdr:rowOff>138547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EA9102DF-19A8-4069-8EC6-EA1A7E874154}"/>
            </a:ext>
          </a:extLst>
        </xdr:cNvPr>
        <xdr:cNvSpPr/>
      </xdr:nvSpPr>
      <xdr:spPr>
        <a:xfrm>
          <a:off x="152400" y="2923310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103909</xdr:colOff>
      <xdr:row>20</xdr:row>
      <xdr:rowOff>12429</xdr:rowOff>
    </xdr:from>
    <xdr:to>
      <xdr:col>2</xdr:col>
      <xdr:colOff>3464</xdr:colOff>
      <xdr:row>21</xdr:row>
      <xdr:rowOff>164830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55C57610-C645-451B-815A-37B6B9F0C9A3}"/>
            </a:ext>
          </a:extLst>
        </xdr:cNvPr>
        <xdr:cNvSpPr/>
      </xdr:nvSpPr>
      <xdr:spPr>
        <a:xfrm>
          <a:off x="139768" y="3598311"/>
          <a:ext cx="338825" cy="33169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</xdr:col>
      <xdr:colOff>86591</xdr:colOff>
      <xdr:row>25</xdr:row>
      <xdr:rowOff>164219</xdr:rowOff>
    </xdr:from>
    <xdr:to>
      <xdr:col>1</xdr:col>
      <xdr:colOff>429491</xdr:colOff>
      <xdr:row>27</xdr:row>
      <xdr:rowOff>129461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8F5B03C0-B091-4044-9142-CD898A5B242A}"/>
            </a:ext>
          </a:extLst>
        </xdr:cNvPr>
        <xdr:cNvSpPr/>
      </xdr:nvSpPr>
      <xdr:spPr>
        <a:xfrm>
          <a:off x="124691" y="4736219"/>
          <a:ext cx="342900" cy="33100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</xdr:col>
      <xdr:colOff>62752</xdr:colOff>
      <xdr:row>29</xdr:row>
      <xdr:rowOff>62753</xdr:rowOff>
    </xdr:from>
    <xdr:to>
      <xdr:col>1</xdr:col>
      <xdr:colOff>405652</xdr:colOff>
      <xdr:row>31</xdr:row>
      <xdr:rowOff>31580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7305439F-4736-4106-8354-DEC7BEF6F76F}"/>
            </a:ext>
          </a:extLst>
        </xdr:cNvPr>
        <xdr:cNvSpPr/>
      </xdr:nvSpPr>
      <xdr:spPr>
        <a:xfrm>
          <a:off x="98611" y="5262282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</xdr:col>
      <xdr:colOff>89646</xdr:colOff>
      <xdr:row>32</xdr:row>
      <xdr:rowOff>17929</xdr:rowOff>
    </xdr:from>
    <xdr:to>
      <xdr:col>1</xdr:col>
      <xdr:colOff>432546</xdr:colOff>
      <xdr:row>33</xdr:row>
      <xdr:rowOff>166051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2FECE1F0-50C9-401B-8529-25AD71459263}"/>
            </a:ext>
          </a:extLst>
        </xdr:cNvPr>
        <xdr:cNvSpPr/>
      </xdr:nvSpPr>
      <xdr:spPr>
        <a:xfrm>
          <a:off x="125505" y="5755341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</xdr:col>
      <xdr:colOff>26890</xdr:colOff>
      <xdr:row>39</xdr:row>
      <xdr:rowOff>8965</xdr:rowOff>
    </xdr:from>
    <xdr:to>
      <xdr:col>2</xdr:col>
      <xdr:colOff>116539</xdr:colOff>
      <xdr:row>40</xdr:row>
      <xdr:rowOff>157087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866A3A7C-A277-4F7B-975C-B66CFE46CCA4}"/>
            </a:ext>
          </a:extLst>
        </xdr:cNvPr>
        <xdr:cNvSpPr/>
      </xdr:nvSpPr>
      <xdr:spPr>
        <a:xfrm>
          <a:off x="62749" y="7001436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1</xdr:col>
      <xdr:colOff>62753</xdr:colOff>
      <xdr:row>49</xdr:row>
      <xdr:rowOff>107576</xdr:rowOff>
    </xdr:from>
    <xdr:to>
      <xdr:col>1</xdr:col>
      <xdr:colOff>405653</xdr:colOff>
      <xdr:row>51</xdr:row>
      <xdr:rowOff>76404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D648134-D0D1-4CEA-840E-1E69191E976F}"/>
            </a:ext>
          </a:extLst>
        </xdr:cNvPr>
        <xdr:cNvSpPr/>
      </xdr:nvSpPr>
      <xdr:spPr>
        <a:xfrm>
          <a:off x="98612" y="8892988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46</xdr:row>
      <xdr:rowOff>71718</xdr:rowOff>
    </xdr:from>
    <xdr:to>
      <xdr:col>2</xdr:col>
      <xdr:colOff>89649</xdr:colOff>
      <xdr:row>48</xdr:row>
      <xdr:rowOff>40545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D0E0C0F0-37E2-48AE-BEC9-CBF400775893}"/>
            </a:ext>
          </a:extLst>
        </xdr:cNvPr>
        <xdr:cNvSpPr/>
      </xdr:nvSpPr>
      <xdr:spPr>
        <a:xfrm>
          <a:off x="35859" y="8319247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</xdr:col>
      <xdr:colOff>62753</xdr:colOff>
      <xdr:row>52</xdr:row>
      <xdr:rowOff>0</xdr:rowOff>
    </xdr:from>
    <xdr:to>
      <xdr:col>2</xdr:col>
      <xdr:colOff>152402</xdr:colOff>
      <xdr:row>53</xdr:row>
      <xdr:rowOff>148122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F87629D-9CB4-4120-9DC1-9D836B2BB319}"/>
            </a:ext>
          </a:extLst>
        </xdr:cNvPr>
        <xdr:cNvSpPr/>
      </xdr:nvSpPr>
      <xdr:spPr>
        <a:xfrm>
          <a:off x="98612" y="9323294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1</xdr:col>
      <xdr:colOff>8965</xdr:colOff>
      <xdr:row>58</xdr:row>
      <xdr:rowOff>53787</xdr:rowOff>
    </xdr:from>
    <xdr:to>
      <xdr:col>2</xdr:col>
      <xdr:colOff>98614</xdr:colOff>
      <xdr:row>60</xdr:row>
      <xdr:rowOff>22616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BA1C03ED-65A2-4CA0-9A36-4A811C7415CE}"/>
            </a:ext>
          </a:extLst>
        </xdr:cNvPr>
        <xdr:cNvSpPr/>
      </xdr:nvSpPr>
      <xdr:spPr>
        <a:xfrm>
          <a:off x="44824" y="10452846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1</xdr:col>
      <xdr:colOff>8965</xdr:colOff>
      <xdr:row>64</xdr:row>
      <xdr:rowOff>53787</xdr:rowOff>
    </xdr:from>
    <xdr:to>
      <xdr:col>2</xdr:col>
      <xdr:colOff>98614</xdr:colOff>
      <xdr:row>66</xdr:row>
      <xdr:rowOff>22616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D6D0A0F0-F3C3-478D-8798-1D9473089503}"/>
            </a:ext>
          </a:extLst>
        </xdr:cNvPr>
        <xdr:cNvSpPr/>
      </xdr:nvSpPr>
      <xdr:spPr>
        <a:xfrm>
          <a:off x="44824" y="10452846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2</xdr:col>
      <xdr:colOff>89649</xdr:colOff>
      <xdr:row>71</xdr:row>
      <xdr:rowOff>148123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B10740E-84A4-41D5-9DE0-04691B84AC0A}"/>
            </a:ext>
          </a:extLst>
        </xdr:cNvPr>
        <xdr:cNvSpPr/>
      </xdr:nvSpPr>
      <xdr:spPr>
        <a:xfrm>
          <a:off x="35859" y="12550588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8966</xdr:colOff>
      <xdr:row>2</xdr:row>
      <xdr:rowOff>148123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470E68B-CFB7-4B8D-8EDA-8F0EFA37BE4A}"/>
            </a:ext>
          </a:extLst>
        </xdr:cNvPr>
        <xdr:cNvSpPr/>
      </xdr:nvSpPr>
      <xdr:spPr>
        <a:xfrm>
          <a:off x="6427694" y="179294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8966</xdr:colOff>
      <xdr:row>6</xdr:row>
      <xdr:rowOff>148123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BB719D97-F3D9-4D67-B5A7-1D9E2DB13FC9}"/>
            </a:ext>
          </a:extLst>
        </xdr:cNvPr>
        <xdr:cNvSpPr/>
      </xdr:nvSpPr>
      <xdr:spPr>
        <a:xfrm>
          <a:off x="6427694" y="89647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8966</xdr:colOff>
      <xdr:row>11</xdr:row>
      <xdr:rowOff>148123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1BF1B729-E458-4D72-A374-FE652172B6CA}"/>
            </a:ext>
          </a:extLst>
        </xdr:cNvPr>
        <xdr:cNvSpPr/>
      </xdr:nvSpPr>
      <xdr:spPr>
        <a:xfrm>
          <a:off x="6427694" y="179294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9</xdr:col>
      <xdr:colOff>8966</xdr:colOff>
      <xdr:row>24</xdr:row>
      <xdr:rowOff>148123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A63A427B-1D0D-41F7-8508-4B5E299B6FC9}"/>
            </a:ext>
          </a:extLst>
        </xdr:cNvPr>
        <xdr:cNvSpPr/>
      </xdr:nvSpPr>
      <xdr:spPr>
        <a:xfrm>
          <a:off x="6427694" y="394447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9</xdr:col>
      <xdr:colOff>8966</xdr:colOff>
      <xdr:row>36</xdr:row>
      <xdr:rowOff>148123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FCED4027-D12C-4891-BEE0-6C89232FF35E}"/>
            </a:ext>
          </a:extLst>
        </xdr:cNvPr>
        <xdr:cNvSpPr/>
      </xdr:nvSpPr>
      <xdr:spPr>
        <a:xfrm>
          <a:off x="6427694" y="6096000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8966</xdr:colOff>
      <xdr:row>45</xdr:row>
      <xdr:rowOff>148123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56CB704E-4990-4357-80FF-646D112E4E2F}"/>
            </a:ext>
          </a:extLst>
        </xdr:cNvPr>
        <xdr:cNvSpPr/>
      </xdr:nvSpPr>
      <xdr:spPr>
        <a:xfrm>
          <a:off x="6427694" y="8068235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21</a:t>
          </a:r>
        </a:p>
      </xdr:txBody>
    </xdr:sp>
    <xdr:clientData/>
  </xdr:twoCellAnchor>
  <xdr:twoCellAnchor>
    <xdr:from>
      <xdr:col>8</xdr:col>
      <xdr:colOff>0</xdr:colOff>
      <xdr:row>49</xdr:row>
      <xdr:rowOff>0</xdr:rowOff>
    </xdr:from>
    <xdr:to>
      <xdr:col>9</xdr:col>
      <xdr:colOff>8966</xdr:colOff>
      <xdr:row>50</xdr:row>
      <xdr:rowOff>148123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806C458F-7456-4E59-B959-1F19ADD5F12A}"/>
            </a:ext>
          </a:extLst>
        </xdr:cNvPr>
        <xdr:cNvSpPr/>
      </xdr:nvSpPr>
      <xdr:spPr>
        <a:xfrm>
          <a:off x="6427694" y="9144000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22</a:t>
          </a:r>
        </a:p>
      </xdr:txBody>
    </xdr:sp>
    <xdr:clientData/>
  </xdr:twoCellAnchor>
  <xdr:twoCellAnchor>
    <xdr:from>
      <xdr:col>8</xdr:col>
      <xdr:colOff>0</xdr:colOff>
      <xdr:row>59</xdr:row>
      <xdr:rowOff>0</xdr:rowOff>
    </xdr:from>
    <xdr:to>
      <xdr:col>9</xdr:col>
      <xdr:colOff>8966</xdr:colOff>
      <xdr:row>60</xdr:row>
      <xdr:rowOff>148123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CCD96893-52B2-4F78-B40C-D901D1195A6F}"/>
            </a:ext>
          </a:extLst>
        </xdr:cNvPr>
        <xdr:cNvSpPr/>
      </xdr:nvSpPr>
      <xdr:spPr>
        <a:xfrm>
          <a:off x="6427694" y="11116235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23</a:t>
          </a:r>
        </a:p>
      </xdr:txBody>
    </xdr:sp>
    <xdr:clientData/>
  </xdr:twoCellAnchor>
  <xdr:twoCellAnchor>
    <xdr:from>
      <xdr:col>8</xdr:col>
      <xdr:colOff>0</xdr:colOff>
      <xdr:row>67</xdr:row>
      <xdr:rowOff>0</xdr:rowOff>
    </xdr:from>
    <xdr:to>
      <xdr:col>9</xdr:col>
      <xdr:colOff>8966</xdr:colOff>
      <xdr:row>68</xdr:row>
      <xdr:rowOff>148123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452D45C-8B6E-49D8-B740-AFDD86DBEFE6}"/>
            </a:ext>
          </a:extLst>
        </xdr:cNvPr>
        <xdr:cNvSpPr/>
      </xdr:nvSpPr>
      <xdr:spPr>
        <a:xfrm>
          <a:off x="6427694" y="8785412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114300</xdr:rowOff>
    </xdr:from>
    <xdr:to>
      <xdr:col>2</xdr:col>
      <xdr:colOff>38100</xdr:colOff>
      <xdr:row>2</xdr:row>
      <xdr:rowOff>83128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80A014C1-27FF-4113-8D57-B552B7FB14D5}"/>
            </a:ext>
          </a:extLst>
        </xdr:cNvPr>
        <xdr:cNvSpPr/>
      </xdr:nvSpPr>
      <xdr:spPr>
        <a:xfrm>
          <a:off x="251460" y="114300"/>
          <a:ext cx="53340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25</a:t>
          </a:r>
        </a:p>
      </xdr:txBody>
    </xdr:sp>
    <xdr:clientData/>
  </xdr:twoCellAnchor>
  <xdr:twoCellAnchor>
    <xdr:from>
      <xdr:col>1</xdr:col>
      <xdr:colOff>106680</xdr:colOff>
      <xdr:row>3</xdr:row>
      <xdr:rowOff>121920</xdr:rowOff>
    </xdr:from>
    <xdr:to>
      <xdr:col>2</xdr:col>
      <xdr:colOff>38100</xdr:colOff>
      <xdr:row>5</xdr:row>
      <xdr:rowOff>90748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C7E9128-CCBA-4D57-BEAB-EC56437D8BB4}"/>
            </a:ext>
          </a:extLst>
        </xdr:cNvPr>
        <xdr:cNvSpPr/>
      </xdr:nvSpPr>
      <xdr:spPr>
        <a:xfrm>
          <a:off x="243840" y="670560"/>
          <a:ext cx="54102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141514</xdr:rowOff>
    </xdr:from>
    <xdr:to>
      <xdr:col>6</xdr:col>
      <xdr:colOff>333375</xdr:colOff>
      <xdr:row>74</xdr:row>
      <xdr:rowOff>143435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E422740A-E95C-4F03-9513-031D17D83133}"/>
            </a:ext>
          </a:extLst>
        </xdr:cNvPr>
        <xdr:cNvCxnSpPr/>
      </xdr:nvCxnSpPr>
      <xdr:spPr>
        <a:xfrm>
          <a:off x="6155055" y="141514"/>
          <a:ext cx="0" cy="135350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112220</xdr:colOff>
      <xdr:row>1</xdr:row>
      <xdr:rowOff>9699</xdr:rowOff>
    </xdr:from>
    <xdr:to>
      <xdr:col>1</xdr:col>
      <xdr:colOff>647699</xdr:colOff>
      <xdr:row>2</xdr:row>
      <xdr:rowOff>161407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7C0688B-2AF9-40C7-81A3-5E6C3472D336}"/>
            </a:ext>
          </a:extLst>
        </xdr:cNvPr>
        <xdr:cNvSpPr/>
      </xdr:nvSpPr>
      <xdr:spPr>
        <a:xfrm>
          <a:off x="150320" y="192579"/>
          <a:ext cx="535479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27</a:t>
          </a:r>
        </a:p>
      </xdr:txBody>
    </xdr:sp>
    <xdr:clientData/>
  </xdr:twoCellAnchor>
  <xdr:twoCellAnchor>
    <xdr:from>
      <xdr:col>1</xdr:col>
      <xdr:colOff>62753</xdr:colOff>
      <xdr:row>49</xdr:row>
      <xdr:rowOff>107576</xdr:rowOff>
    </xdr:from>
    <xdr:to>
      <xdr:col>1</xdr:col>
      <xdr:colOff>405653</xdr:colOff>
      <xdr:row>51</xdr:row>
      <xdr:rowOff>76404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17090BA4-93B6-4DF4-838F-42FF5005031D}"/>
            </a:ext>
          </a:extLst>
        </xdr:cNvPr>
        <xdr:cNvSpPr/>
      </xdr:nvSpPr>
      <xdr:spPr>
        <a:xfrm>
          <a:off x="100853" y="9068696"/>
          <a:ext cx="34290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8</xdr:col>
      <xdr:colOff>8966</xdr:colOff>
      <xdr:row>2</xdr:row>
      <xdr:rowOff>148123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DDA768A3-C687-4E4A-95C3-AC371738C713}"/>
            </a:ext>
          </a:extLst>
        </xdr:cNvPr>
        <xdr:cNvSpPr/>
      </xdr:nvSpPr>
      <xdr:spPr>
        <a:xfrm>
          <a:off x="6431280" y="182880"/>
          <a:ext cx="527126" cy="33100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29</a:t>
          </a:r>
        </a:p>
      </xdr:txBody>
    </xdr:sp>
    <xdr:clientData/>
  </xdr:twoCellAnchor>
  <xdr:twoCellAnchor>
    <xdr:from>
      <xdr:col>7</xdr:col>
      <xdr:colOff>0</xdr:colOff>
      <xdr:row>13</xdr:row>
      <xdr:rowOff>30480</xdr:rowOff>
    </xdr:from>
    <xdr:to>
      <xdr:col>8</xdr:col>
      <xdr:colOff>8966</xdr:colOff>
      <xdr:row>14</xdr:row>
      <xdr:rowOff>178603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DD8CCDB2-CAB1-4F4F-B426-1B92AA05453A}"/>
            </a:ext>
          </a:extLst>
        </xdr:cNvPr>
        <xdr:cNvSpPr/>
      </xdr:nvSpPr>
      <xdr:spPr>
        <a:xfrm>
          <a:off x="6286500" y="2407920"/>
          <a:ext cx="527126" cy="33100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30</a:t>
          </a:r>
        </a:p>
      </xdr:txBody>
    </xdr:sp>
    <xdr:clientData/>
  </xdr:twoCellAnchor>
  <xdr:twoCellAnchor>
    <xdr:from>
      <xdr:col>1</xdr:col>
      <xdr:colOff>104600</xdr:colOff>
      <xdr:row>11</xdr:row>
      <xdr:rowOff>40179</xdr:rowOff>
    </xdr:from>
    <xdr:to>
      <xdr:col>1</xdr:col>
      <xdr:colOff>640079</xdr:colOff>
      <xdr:row>13</xdr:row>
      <xdr:rowOff>9007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D950DDC4-A6D0-4765-9DB7-CDEEB29CD0AB}"/>
            </a:ext>
          </a:extLst>
        </xdr:cNvPr>
        <xdr:cNvSpPr/>
      </xdr:nvSpPr>
      <xdr:spPr>
        <a:xfrm>
          <a:off x="142700" y="2051859"/>
          <a:ext cx="535479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28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4592D-EC02-48ED-8709-D92F991A3C66}" name="Tabela1" displayName="Tabela1" ref="A1:I3856" totalsRowShown="0" headerRowDxfId="37" dataDxfId="36">
  <autoFilter ref="A1:I3856" xr:uid="{1C20D081-AA17-4E6D-8674-9C480538D2DE}"/>
  <tableColumns count="9">
    <tableColumn id="1" xr3:uid="{FAA99837-BC39-4D3D-975E-472B807D5686}" name="Descrição" dataDxfId="35"/>
    <tableColumn id="2" xr3:uid="{C9C3C9FC-49CF-4D48-BC4E-EC9BB667F370}" name="Código" dataDxfId="34"/>
    <tableColumn id="3" xr3:uid="{DF2BFF92-97AA-4681-A32C-4C9ECAC1828F}" name="Origem" dataDxfId="33"/>
    <tableColumn id="10" xr3:uid="{720F0D60-2B30-451A-8031-DE11C644C8E2}" name="Região" dataDxfId="32">
      <calculatedColumnFormula>VLOOKUP(Tabela1[[#This Row],[Origem]],'Perguntas 1 a 24'!$J$28:$K$34,2,FALSE)</calculatedColumnFormula>
    </tableColumn>
    <tableColumn id="8" xr3:uid="{0E26A335-96AB-45CB-946D-B9CC56A5DF6F}" name="Chave" dataDxfId="31"/>
    <tableColumn id="4" xr3:uid="{ECA17708-7F15-4887-9197-8BC12E733727}" name="Data de Validade" dataDxfId="30"/>
    <tableColumn id="5" xr3:uid="{28C877FE-FBB5-461D-8FBB-376454F7CA2A}" name="Custo de Produção" dataDxfId="29"/>
    <tableColumn id="6" xr3:uid="{8527AA52-0985-48F5-9AD7-382ED70E5DDE}" name="País de Destino" dataDxfId="28"/>
    <tableColumn id="7" xr3:uid="{9CEEFFC0-3AF8-45BE-A929-1421F11C9C84}" name="Urgência" dataDxfId="3">
      <calculatedColumnFormula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3FB156-1D6F-4BD5-B312-49F585F883B7}" name="Tabela2" displayName="Tabela2" ref="A1:F3500" totalsRowShown="0" headerRowDxfId="0">
  <autoFilter ref="A1:F3500" xr:uid="{A6511906-43F2-46B7-A349-2F05F3D08F48}"/>
  <tableColumns count="6">
    <tableColumn id="1" xr3:uid="{17346AFD-9346-4D58-91E0-85EB5591CABA}" name="Data" dataDxfId="2"/>
    <tableColumn id="2" xr3:uid="{45F59FAC-61A5-4DA0-8FCB-A6BBC54E5F6C}" name="Código"/>
    <tableColumn id="3" xr3:uid="{9BC94367-CDAD-49BB-BD9A-6652B8EFC1EE}" name="Funcionário"/>
    <tableColumn id="4" xr3:uid="{290F7D46-C9F2-479A-AD8E-19F02B1CDA0A}" name="Produto"/>
    <tableColumn id="5" xr3:uid="{80AC6FDD-28E8-446F-A415-E4D88F8D1EEE}" name="Marca"/>
    <tableColumn id="6" xr3:uid="{CCDD7B47-FD05-441A-BFDC-0722A0A856C6}" name="Valor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42A3-CEED-4C71-84C1-F3066409A6CA}">
  <dimension ref="A2:W23"/>
  <sheetViews>
    <sheetView showGridLines="0" workbookViewId="0">
      <selection activeCell="F37" sqref="F37"/>
    </sheetView>
  </sheetViews>
  <sheetFormatPr defaultRowHeight="14.25"/>
  <cols>
    <col min="1" max="1" width="8.875" customWidth="1"/>
  </cols>
  <sheetData>
    <row r="2" spans="1:23">
      <c r="A2" s="28" t="s">
        <v>72</v>
      </c>
      <c r="B2" t="s">
        <v>113</v>
      </c>
    </row>
    <row r="3" spans="1:23" ht="9" customHeight="1"/>
    <row r="4" spans="1:23">
      <c r="B4" t="s">
        <v>57</v>
      </c>
    </row>
    <row r="5" spans="1:23">
      <c r="B5" t="s">
        <v>58</v>
      </c>
    </row>
    <row r="6" spans="1:23">
      <c r="B6" t="s">
        <v>59</v>
      </c>
    </row>
    <row r="7" spans="1:23">
      <c r="B7" t="s">
        <v>60</v>
      </c>
    </row>
    <row r="8" spans="1:23">
      <c r="B8" t="s">
        <v>61</v>
      </c>
    </row>
    <row r="9" spans="1:23">
      <c r="B9" t="s">
        <v>62</v>
      </c>
    </row>
    <row r="10" spans="1:23">
      <c r="B10" t="s">
        <v>63</v>
      </c>
    </row>
    <row r="11" spans="1:23" ht="9" customHeight="1"/>
    <row r="12" spans="1:23">
      <c r="A12" s="28" t="s">
        <v>72</v>
      </c>
      <c r="B12" t="s">
        <v>64</v>
      </c>
    </row>
    <row r="13" spans="1:23" ht="9" customHeight="1"/>
    <row r="14" spans="1:23">
      <c r="A14" s="28" t="s">
        <v>72</v>
      </c>
      <c r="B14" t="s">
        <v>3660</v>
      </c>
    </row>
    <row r="15" spans="1:23">
      <c r="B15" s="100" t="s">
        <v>3659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</row>
    <row r="16" spans="1:23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</row>
    <row r="17" spans="1:23" ht="9" customHeight="1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>
      <c r="A18" s="28" t="s">
        <v>72</v>
      </c>
      <c r="B18" s="100" t="s">
        <v>70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 ht="9" customHeight="1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4.45" customHeight="1">
      <c r="A20" s="28" t="s">
        <v>72</v>
      </c>
      <c r="B20" s="100" t="s">
        <v>71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</row>
    <row r="21" spans="1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</row>
    <row r="22" spans="1:23" ht="9" customHeight="1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>
      <c r="A23" s="28" t="s">
        <v>72</v>
      </c>
      <c r="B23" t="s">
        <v>69</v>
      </c>
    </row>
  </sheetData>
  <mergeCells count="3">
    <mergeCell ref="B15:W16"/>
    <mergeCell ref="B18:W18"/>
    <mergeCell ref="B20:W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ACDA-4FDC-4DB6-BF1C-1E02A01F8F24}">
  <dimension ref="A1:K3856"/>
  <sheetViews>
    <sheetView showGridLines="0" workbookViewId="0">
      <selection activeCell="I3" sqref="I3"/>
    </sheetView>
  </sheetViews>
  <sheetFormatPr defaultRowHeight="14.25"/>
  <cols>
    <col min="1" max="1" width="12.625" bestFit="1" customWidth="1"/>
    <col min="2" max="2" width="9.375" bestFit="1" customWidth="1"/>
    <col min="3" max="3" width="9.25" customWidth="1"/>
    <col min="4" max="4" width="16" customWidth="1"/>
    <col min="5" max="5" width="20.5" customWidth="1"/>
    <col min="6" max="6" width="17.5" style="1" customWidth="1"/>
    <col min="7" max="7" width="19.75" style="86" customWidth="1"/>
    <col min="8" max="8" width="16.625" style="94" customWidth="1"/>
    <col min="9" max="10" width="16.625" customWidth="1"/>
    <col min="11" max="11" width="16.375" customWidth="1"/>
  </cols>
  <sheetData>
    <row r="1" spans="1:11">
      <c r="A1" s="87" t="s">
        <v>0</v>
      </c>
      <c r="B1" s="87" t="s">
        <v>1</v>
      </c>
      <c r="C1" s="87" t="s">
        <v>2</v>
      </c>
      <c r="D1" s="87" t="s">
        <v>24</v>
      </c>
      <c r="E1" s="87" t="s">
        <v>11340</v>
      </c>
      <c r="F1" s="88" t="s">
        <v>3</v>
      </c>
      <c r="G1" s="89" t="s">
        <v>4</v>
      </c>
      <c r="H1" s="93" t="s">
        <v>5</v>
      </c>
      <c r="I1" s="87" t="s">
        <v>15196</v>
      </c>
      <c r="K1" s="87" t="s">
        <v>1</v>
      </c>
    </row>
    <row r="2" spans="1:11">
      <c r="A2" s="90" t="s">
        <v>3892</v>
      </c>
      <c r="B2" s="90" t="s">
        <v>3893</v>
      </c>
      <c r="C2" s="90" t="s">
        <v>15</v>
      </c>
      <c r="D2" s="90" t="str">
        <f>VLOOKUP(Tabela1[[#This Row],[Origem]],'Perguntas 1 a 24'!$J$28:$K$34,2,FALSE)</f>
        <v>Sudeste</v>
      </c>
      <c r="E2" s="90" t="s">
        <v>11341</v>
      </c>
      <c r="F2" s="91">
        <v>45425</v>
      </c>
      <c r="G2" s="92">
        <v>80281</v>
      </c>
      <c r="H2" s="90" t="s">
        <v>11</v>
      </c>
      <c r="I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" s="90" t="s">
        <v>3893</v>
      </c>
    </row>
    <row r="3" spans="1:11">
      <c r="A3" s="90" t="s">
        <v>4355</v>
      </c>
      <c r="B3" s="90" t="s">
        <v>4356</v>
      </c>
      <c r="C3" s="90" t="s">
        <v>13</v>
      </c>
      <c r="D3" s="90" t="str">
        <f>VLOOKUP(Tabela1[[#This Row],[Origem]],'Perguntas 1 a 24'!$J$28:$K$34,2,FALSE)</f>
        <v>Sudeste</v>
      </c>
      <c r="E3" s="90" t="s">
        <v>11342</v>
      </c>
      <c r="F3" s="91">
        <v>45425</v>
      </c>
      <c r="G3" s="92">
        <v>75598</v>
      </c>
      <c r="H3" s="90" t="s">
        <v>11</v>
      </c>
      <c r="I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" s="90" t="s">
        <v>4356</v>
      </c>
    </row>
    <row r="4" spans="1:11">
      <c r="A4" s="90" t="s">
        <v>5138</v>
      </c>
      <c r="B4" s="90" t="s">
        <v>5139</v>
      </c>
      <c r="C4" s="90" t="s">
        <v>15</v>
      </c>
      <c r="D4" s="90" t="str">
        <f>VLOOKUP(Tabela1[[#This Row],[Origem]],'Perguntas 1 a 24'!$J$28:$K$34,2,FALSE)</f>
        <v>Sudeste</v>
      </c>
      <c r="E4" s="90" t="s">
        <v>11343</v>
      </c>
      <c r="F4" s="91">
        <v>45425</v>
      </c>
      <c r="G4" s="92">
        <v>56196</v>
      </c>
      <c r="H4" s="90" t="s">
        <v>9</v>
      </c>
      <c r="I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" s="90" t="s">
        <v>5139</v>
      </c>
    </row>
    <row r="5" spans="1:11">
      <c r="A5" s="90" t="s">
        <v>6004</v>
      </c>
      <c r="B5" s="90" t="s">
        <v>6005</v>
      </c>
      <c r="C5" s="90" t="s">
        <v>13</v>
      </c>
      <c r="D5" s="90" t="str">
        <f>VLOOKUP(Tabela1[[#This Row],[Origem]],'Perguntas 1 a 24'!$J$28:$K$34,2,FALSE)</f>
        <v>Sudeste</v>
      </c>
      <c r="E5" s="90" t="s">
        <v>11344</v>
      </c>
      <c r="F5" s="91">
        <v>45425</v>
      </c>
      <c r="G5" s="92">
        <v>107568</v>
      </c>
      <c r="H5" s="90" t="s">
        <v>7</v>
      </c>
      <c r="I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" s="90" t="s">
        <v>6005</v>
      </c>
    </row>
    <row r="6" spans="1:11">
      <c r="A6" s="90" t="s">
        <v>6296</v>
      </c>
      <c r="B6" s="90" t="s">
        <v>6297</v>
      </c>
      <c r="C6" s="90" t="s">
        <v>15</v>
      </c>
      <c r="D6" s="90" t="str">
        <f>VLOOKUP(Tabela1[[#This Row],[Origem]],'Perguntas 1 a 24'!$J$28:$K$34,2,FALSE)</f>
        <v>Sudeste</v>
      </c>
      <c r="E6" s="90" t="s">
        <v>11345</v>
      </c>
      <c r="F6" s="91">
        <v>45425</v>
      </c>
      <c r="G6" s="92">
        <v>111076</v>
      </c>
      <c r="H6" s="90" t="s">
        <v>7</v>
      </c>
      <c r="I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" s="90" t="s">
        <v>6297</v>
      </c>
    </row>
    <row r="7" spans="1:11">
      <c r="A7" s="90" t="s">
        <v>7384</v>
      </c>
      <c r="B7" s="90" t="s">
        <v>7385</v>
      </c>
      <c r="C7" s="90" t="s">
        <v>16</v>
      </c>
      <c r="D7" s="90" t="str">
        <f>VLOOKUP(Tabela1[[#This Row],[Origem]],'Perguntas 1 a 24'!$J$28:$K$34,2,FALSE)</f>
        <v>Sudeste</v>
      </c>
      <c r="E7" s="90" t="s">
        <v>11346</v>
      </c>
      <c r="F7" s="91">
        <v>45425</v>
      </c>
      <c r="G7" s="92">
        <v>86399</v>
      </c>
      <c r="H7" s="90" t="s">
        <v>9</v>
      </c>
      <c r="I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" s="90" t="s">
        <v>7385</v>
      </c>
    </row>
    <row r="8" spans="1:11">
      <c r="A8" s="90" t="s">
        <v>9615</v>
      </c>
      <c r="B8" s="90" t="s">
        <v>9616</v>
      </c>
      <c r="C8" s="90" t="s">
        <v>13</v>
      </c>
      <c r="D8" s="90" t="str">
        <f>VLOOKUP(Tabela1[[#This Row],[Origem]],'Perguntas 1 a 24'!$J$28:$K$34,2,FALSE)</f>
        <v>Sudeste</v>
      </c>
      <c r="E8" s="90" t="s">
        <v>11347</v>
      </c>
      <c r="F8" s="91">
        <v>45425</v>
      </c>
      <c r="G8" s="92">
        <v>80288</v>
      </c>
      <c r="H8" s="90" t="s">
        <v>11</v>
      </c>
      <c r="I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" s="90" t="s">
        <v>9616</v>
      </c>
    </row>
    <row r="9" spans="1:11">
      <c r="A9" s="90" t="s">
        <v>9977</v>
      </c>
      <c r="B9" s="90" t="s">
        <v>9978</v>
      </c>
      <c r="C9" s="90" t="s">
        <v>15</v>
      </c>
      <c r="D9" s="90" t="str">
        <f>VLOOKUP(Tabela1[[#This Row],[Origem]],'Perguntas 1 a 24'!$J$28:$K$34,2,FALSE)</f>
        <v>Sudeste</v>
      </c>
      <c r="E9" s="90" t="s">
        <v>11348</v>
      </c>
      <c r="F9" s="91">
        <v>45425</v>
      </c>
      <c r="G9" s="92">
        <v>57874</v>
      </c>
      <c r="H9" s="90" t="s">
        <v>14</v>
      </c>
      <c r="I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" s="90" t="s">
        <v>9978</v>
      </c>
    </row>
    <row r="10" spans="1:11">
      <c r="A10" s="90" t="s">
        <v>10621</v>
      </c>
      <c r="B10" s="90" t="s">
        <v>10622</v>
      </c>
      <c r="C10" s="90" t="s">
        <v>10</v>
      </c>
      <c r="D10" s="90" t="str">
        <f>VLOOKUP(Tabela1[[#This Row],[Origem]],'Perguntas 1 a 24'!$J$28:$K$34,2,FALSE)</f>
        <v>Centro-Oeste</v>
      </c>
      <c r="E10" s="90" t="s">
        <v>11349</v>
      </c>
      <c r="F10" s="91">
        <v>45425</v>
      </c>
      <c r="G10" s="92">
        <v>65781</v>
      </c>
      <c r="H10" s="90" t="s">
        <v>9</v>
      </c>
      <c r="I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0" s="90" t="s">
        <v>10622</v>
      </c>
    </row>
    <row r="11" spans="1:11">
      <c r="A11" s="90" t="s">
        <v>6984</v>
      </c>
      <c r="B11" s="90" t="s">
        <v>6985</v>
      </c>
      <c r="C11" s="90" t="s">
        <v>10</v>
      </c>
      <c r="D11" s="90" t="str">
        <f>VLOOKUP(Tabela1[[#This Row],[Origem]],'Perguntas 1 a 24'!$J$28:$K$34,2,FALSE)</f>
        <v>Centro-Oeste</v>
      </c>
      <c r="E11" s="90" t="s">
        <v>11350</v>
      </c>
      <c r="F11" s="91">
        <v>45426</v>
      </c>
      <c r="G11" s="92">
        <v>97849</v>
      </c>
      <c r="H11" s="90" t="s">
        <v>11</v>
      </c>
      <c r="I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" s="90" t="s">
        <v>6985</v>
      </c>
    </row>
    <row r="12" spans="1:11">
      <c r="A12" s="90" t="s">
        <v>8070</v>
      </c>
      <c r="B12" s="90" t="s">
        <v>8071</v>
      </c>
      <c r="C12" s="90" t="s">
        <v>12</v>
      </c>
      <c r="D12" s="90" t="str">
        <f>VLOOKUP(Tabela1[[#This Row],[Origem]],'Perguntas 1 a 24'!$J$28:$K$34,2,FALSE)</f>
        <v>Sudeste</v>
      </c>
      <c r="E12" s="90" t="s">
        <v>11351</v>
      </c>
      <c r="F12" s="91">
        <v>45426</v>
      </c>
      <c r="G12" s="92">
        <v>88834</v>
      </c>
      <c r="H12" s="90" t="s">
        <v>11</v>
      </c>
      <c r="I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2" s="90" t="s">
        <v>8071</v>
      </c>
    </row>
    <row r="13" spans="1:11">
      <c r="A13" s="90" t="s">
        <v>6352</v>
      </c>
      <c r="B13" s="90" t="s">
        <v>6353</v>
      </c>
      <c r="C13" s="90" t="s">
        <v>8</v>
      </c>
      <c r="D13" s="90" t="str">
        <f>VLOOKUP(Tabela1[[#This Row],[Origem]],'Perguntas 1 a 24'!$J$28:$K$34,2,FALSE)</f>
        <v>Nordeste</v>
      </c>
      <c r="E13" s="90" t="s">
        <v>11352</v>
      </c>
      <c r="F13" s="91">
        <v>45427</v>
      </c>
      <c r="G13" s="92">
        <v>56807</v>
      </c>
      <c r="H13" s="90" t="s">
        <v>9</v>
      </c>
      <c r="I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3" s="90" t="s">
        <v>6353</v>
      </c>
    </row>
    <row r="14" spans="1:11">
      <c r="A14" s="90" t="s">
        <v>8374</v>
      </c>
      <c r="B14" s="90" t="s">
        <v>8375</v>
      </c>
      <c r="C14" s="90" t="s">
        <v>6</v>
      </c>
      <c r="D14" s="90" t="str">
        <f>VLOOKUP(Tabela1[[#This Row],[Origem]],'Perguntas 1 a 24'!$J$28:$K$34,2,FALSE)</f>
        <v>Nordeste</v>
      </c>
      <c r="E14" s="90" t="s">
        <v>11353</v>
      </c>
      <c r="F14" s="91">
        <v>45427</v>
      </c>
      <c r="G14" s="92">
        <v>87366</v>
      </c>
      <c r="H14" s="90" t="s">
        <v>14</v>
      </c>
      <c r="I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4" s="90" t="s">
        <v>8375</v>
      </c>
    </row>
    <row r="15" spans="1:11">
      <c r="A15" s="90" t="s">
        <v>8931</v>
      </c>
      <c r="B15" s="90" t="s">
        <v>8932</v>
      </c>
      <c r="C15" s="90" t="s">
        <v>10</v>
      </c>
      <c r="D15" s="90" t="str">
        <f>VLOOKUP(Tabela1[[#This Row],[Origem]],'Perguntas 1 a 24'!$J$28:$K$34,2,FALSE)</f>
        <v>Centro-Oeste</v>
      </c>
      <c r="E15" s="90" t="s">
        <v>11354</v>
      </c>
      <c r="F15" s="91">
        <v>45427</v>
      </c>
      <c r="G15" s="92">
        <v>60456</v>
      </c>
      <c r="H15" s="90" t="s">
        <v>11</v>
      </c>
      <c r="I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" s="90" t="s">
        <v>8932</v>
      </c>
    </row>
    <row r="16" spans="1:11">
      <c r="A16" s="90" t="s">
        <v>7836</v>
      </c>
      <c r="B16" s="90" t="s">
        <v>7837</v>
      </c>
      <c r="C16" s="90" t="s">
        <v>13</v>
      </c>
      <c r="D16" s="90" t="str">
        <f>VLOOKUP(Tabela1[[#This Row],[Origem]],'Perguntas 1 a 24'!$J$28:$K$34,2,FALSE)</f>
        <v>Sudeste</v>
      </c>
      <c r="E16" s="90" t="s">
        <v>11355</v>
      </c>
      <c r="F16" s="91">
        <v>45428</v>
      </c>
      <c r="G16" s="92">
        <v>65721</v>
      </c>
      <c r="H16" s="90" t="s">
        <v>11</v>
      </c>
      <c r="I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6" s="90" t="s">
        <v>7837</v>
      </c>
    </row>
    <row r="17" spans="1:11">
      <c r="A17" s="90" t="s">
        <v>7252</v>
      </c>
      <c r="B17" s="90" t="s">
        <v>7253</v>
      </c>
      <c r="C17" s="90" t="s">
        <v>15</v>
      </c>
      <c r="D17" s="90" t="str">
        <f>VLOOKUP(Tabela1[[#This Row],[Origem]],'Perguntas 1 a 24'!$J$28:$K$34,2,FALSE)</f>
        <v>Sudeste</v>
      </c>
      <c r="E17" s="90" t="s">
        <v>11356</v>
      </c>
      <c r="F17" s="91">
        <v>45429</v>
      </c>
      <c r="G17" s="92">
        <v>53918</v>
      </c>
      <c r="H17" s="90" t="s">
        <v>7</v>
      </c>
      <c r="I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7" s="90" t="s">
        <v>7253</v>
      </c>
    </row>
    <row r="18" spans="1:11">
      <c r="A18" s="90" t="s">
        <v>9559</v>
      </c>
      <c r="B18" s="90" t="s">
        <v>9560</v>
      </c>
      <c r="C18" s="90" t="s">
        <v>12</v>
      </c>
      <c r="D18" s="90" t="str">
        <f>VLOOKUP(Tabela1[[#This Row],[Origem]],'Perguntas 1 a 24'!$J$28:$K$34,2,FALSE)</f>
        <v>Sudeste</v>
      </c>
      <c r="E18" s="90" t="s">
        <v>11357</v>
      </c>
      <c r="F18" s="91">
        <v>45429</v>
      </c>
      <c r="G18" s="92">
        <v>27565</v>
      </c>
      <c r="H18" s="90" t="s">
        <v>11</v>
      </c>
      <c r="I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8" s="90" t="s">
        <v>9560</v>
      </c>
    </row>
    <row r="19" spans="1:11">
      <c r="A19" s="90" t="s">
        <v>11161</v>
      </c>
      <c r="B19" s="90" t="s">
        <v>11162</v>
      </c>
      <c r="C19" s="90" t="s">
        <v>15</v>
      </c>
      <c r="D19" s="90" t="str">
        <f>VLOOKUP(Tabela1[[#This Row],[Origem]],'Perguntas 1 a 24'!$J$28:$K$34,2,FALSE)</f>
        <v>Sudeste</v>
      </c>
      <c r="E19" s="90" t="s">
        <v>11358</v>
      </c>
      <c r="F19" s="91">
        <v>45430</v>
      </c>
      <c r="G19" s="92">
        <v>51114</v>
      </c>
      <c r="H19" s="90" t="s">
        <v>11</v>
      </c>
      <c r="I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" s="90" t="s">
        <v>11162</v>
      </c>
    </row>
    <row r="20" spans="1:11">
      <c r="A20" s="90" t="s">
        <v>5904</v>
      </c>
      <c r="B20" s="90" t="s">
        <v>5905</v>
      </c>
      <c r="C20" s="90" t="s">
        <v>8</v>
      </c>
      <c r="D20" s="90" t="str">
        <f>VLOOKUP(Tabela1[[#This Row],[Origem]],'Perguntas 1 a 24'!$J$28:$K$34,2,FALSE)</f>
        <v>Nordeste</v>
      </c>
      <c r="E20" s="90" t="s">
        <v>11359</v>
      </c>
      <c r="F20" s="91">
        <v>45431</v>
      </c>
      <c r="G20" s="92">
        <v>41665</v>
      </c>
      <c r="H20" s="90" t="s">
        <v>9</v>
      </c>
      <c r="I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0" s="90" t="s">
        <v>5905</v>
      </c>
    </row>
    <row r="21" spans="1:11">
      <c r="A21" s="90" t="s">
        <v>8172</v>
      </c>
      <c r="B21" s="90" t="s">
        <v>8173</v>
      </c>
      <c r="C21" s="90" t="s">
        <v>16</v>
      </c>
      <c r="D21" s="90" t="str">
        <f>VLOOKUP(Tabela1[[#This Row],[Origem]],'Perguntas 1 a 24'!$J$28:$K$34,2,FALSE)</f>
        <v>Sudeste</v>
      </c>
      <c r="E21" s="90" t="s">
        <v>11360</v>
      </c>
      <c r="F21" s="91">
        <v>45433</v>
      </c>
      <c r="G21" s="92">
        <v>87845</v>
      </c>
      <c r="H21" s="90" t="s">
        <v>9</v>
      </c>
      <c r="I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1" s="90" t="s">
        <v>8173</v>
      </c>
    </row>
    <row r="22" spans="1:11">
      <c r="A22" s="90" t="s">
        <v>10607</v>
      </c>
      <c r="B22" s="90" t="s">
        <v>10608</v>
      </c>
      <c r="C22" s="90" t="s">
        <v>13</v>
      </c>
      <c r="D22" s="90" t="str">
        <f>VLOOKUP(Tabela1[[#This Row],[Origem]],'Perguntas 1 a 24'!$J$28:$K$34,2,FALSE)</f>
        <v>Sudeste</v>
      </c>
      <c r="E22" s="90" t="s">
        <v>11361</v>
      </c>
      <c r="F22" s="91">
        <v>45433</v>
      </c>
      <c r="G22" s="92">
        <v>50593</v>
      </c>
      <c r="H22" s="90" t="s">
        <v>7</v>
      </c>
      <c r="I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2" s="90" t="s">
        <v>10608</v>
      </c>
    </row>
    <row r="23" spans="1:11">
      <c r="A23" s="90" t="s">
        <v>6350</v>
      </c>
      <c r="B23" s="90" t="s">
        <v>6351</v>
      </c>
      <c r="C23" s="90" t="s">
        <v>8</v>
      </c>
      <c r="D23" s="90" t="str">
        <f>VLOOKUP(Tabela1[[#This Row],[Origem]],'Perguntas 1 a 24'!$J$28:$K$34,2,FALSE)</f>
        <v>Nordeste</v>
      </c>
      <c r="E23" s="90" t="s">
        <v>11362</v>
      </c>
      <c r="F23" s="91">
        <v>45434</v>
      </c>
      <c r="G23" s="92">
        <v>24458</v>
      </c>
      <c r="H23" s="90" t="s">
        <v>9</v>
      </c>
      <c r="I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3" s="90" t="s">
        <v>6351</v>
      </c>
    </row>
    <row r="24" spans="1:11">
      <c r="A24" s="90" t="s">
        <v>10533</v>
      </c>
      <c r="B24" s="90" t="s">
        <v>10534</v>
      </c>
      <c r="C24" s="90" t="s">
        <v>6</v>
      </c>
      <c r="D24" s="90" t="str">
        <f>VLOOKUP(Tabela1[[#This Row],[Origem]],'Perguntas 1 a 24'!$J$28:$K$34,2,FALSE)</f>
        <v>Nordeste</v>
      </c>
      <c r="E24" s="90" t="s">
        <v>11363</v>
      </c>
      <c r="F24" s="91">
        <v>45434</v>
      </c>
      <c r="G24" s="92">
        <v>41981</v>
      </c>
      <c r="H24" s="90" t="s">
        <v>11</v>
      </c>
      <c r="I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4" s="90" t="s">
        <v>10534</v>
      </c>
    </row>
    <row r="25" spans="1:11">
      <c r="A25" s="90" t="s">
        <v>10577</v>
      </c>
      <c r="B25" s="90" t="s">
        <v>10578</v>
      </c>
      <c r="C25" s="90" t="s">
        <v>10</v>
      </c>
      <c r="D25" s="90" t="str">
        <f>VLOOKUP(Tabela1[[#This Row],[Origem]],'Perguntas 1 a 24'!$J$28:$K$34,2,FALSE)</f>
        <v>Centro-Oeste</v>
      </c>
      <c r="E25" s="90" t="s">
        <v>11364</v>
      </c>
      <c r="F25" s="91">
        <v>45434</v>
      </c>
      <c r="G25" s="92">
        <v>78874</v>
      </c>
      <c r="H25" s="90" t="s">
        <v>14</v>
      </c>
      <c r="I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5" s="90" t="s">
        <v>10578</v>
      </c>
    </row>
    <row r="26" spans="1:11">
      <c r="A26" s="90" t="s">
        <v>10165</v>
      </c>
      <c r="B26" s="90" t="s">
        <v>10166</v>
      </c>
      <c r="C26" s="90" t="s">
        <v>6</v>
      </c>
      <c r="D26" s="90" t="str">
        <f>VLOOKUP(Tabela1[[#This Row],[Origem]],'Perguntas 1 a 24'!$J$28:$K$34,2,FALSE)</f>
        <v>Nordeste</v>
      </c>
      <c r="E26" s="90" t="s">
        <v>11365</v>
      </c>
      <c r="F26" s="91">
        <v>45435</v>
      </c>
      <c r="G26" s="92">
        <v>114895</v>
      </c>
      <c r="H26" s="90" t="s">
        <v>11</v>
      </c>
      <c r="I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6" s="90" t="s">
        <v>10166</v>
      </c>
    </row>
    <row r="27" spans="1:11">
      <c r="A27" s="90" t="s">
        <v>10431</v>
      </c>
      <c r="B27" s="90" t="s">
        <v>10432</v>
      </c>
      <c r="C27" s="90" t="s">
        <v>8</v>
      </c>
      <c r="D27" s="90" t="str">
        <f>VLOOKUP(Tabela1[[#This Row],[Origem]],'Perguntas 1 a 24'!$J$28:$K$34,2,FALSE)</f>
        <v>Nordeste</v>
      </c>
      <c r="E27" s="90" t="s">
        <v>11366</v>
      </c>
      <c r="F27" s="91">
        <v>45435</v>
      </c>
      <c r="G27" s="92">
        <v>62600</v>
      </c>
      <c r="H27" s="90" t="s">
        <v>11</v>
      </c>
      <c r="I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" s="90" t="s">
        <v>10432</v>
      </c>
    </row>
    <row r="28" spans="1:11">
      <c r="A28" s="90" t="s">
        <v>10663</v>
      </c>
      <c r="B28" s="90" t="s">
        <v>10664</v>
      </c>
      <c r="C28" s="90" t="s">
        <v>15</v>
      </c>
      <c r="D28" s="90" t="str">
        <f>VLOOKUP(Tabela1[[#This Row],[Origem]],'Perguntas 1 a 24'!$J$28:$K$34,2,FALSE)</f>
        <v>Sudeste</v>
      </c>
      <c r="E28" s="90" t="s">
        <v>11367</v>
      </c>
      <c r="F28" s="91">
        <v>45436</v>
      </c>
      <c r="G28" s="92">
        <v>75024</v>
      </c>
      <c r="H28" s="90" t="s">
        <v>14</v>
      </c>
      <c r="I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" s="90" t="s">
        <v>10664</v>
      </c>
    </row>
    <row r="29" spans="1:11">
      <c r="A29" s="90" t="s">
        <v>4269</v>
      </c>
      <c r="B29" s="90" t="s">
        <v>4270</v>
      </c>
      <c r="C29" s="90" t="s">
        <v>10</v>
      </c>
      <c r="D29" s="90" t="str">
        <f>VLOOKUP(Tabela1[[#This Row],[Origem]],'Perguntas 1 a 24'!$J$28:$K$34,2,FALSE)</f>
        <v>Centro-Oeste</v>
      </c>
      <c r="E29" s="90" t="s">
        <v>11368</v>
      </c>
      <c r="F29" s="91">
        <v>45437</v>
      </c>
      <c r="G29" s="92">
        <v>86978</v>
      </c>
      <c r="H29" s="90" t="s">
        <v>14</v>
      </c>
      <c r="I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9" s="90" t="s">
        <v>4270</v>
      </c>
    </row>
    <row r="30" spans="1:11">
      <c r="A30" s="90" t="s">
        <v>10691</v>
      </c>
      <c r="B30" s="90" t="s">
        <v>10692</v>
      </c>
      <c r="C30" s="90" t="s">
        <v>10</v>
      </c>
      <c r="D30" s="90" t="str">
        <f>VLOOKUP(Tabela1[[#This Row],[Origem]],'Perguntas 1 a 24'!$J$28:$K$34,2,FALSE)</f>
        <v>Centro-Oeste</v>
      </c>
      <c r="E30" s="90" t="s">
        <v>11369</v>
      </c>
      <c r="F30" s="91">
        <v>45437</v>
      </c>
      <c r="G30" s="92">
        <v>36787</v>
      </c>
      <c r="H30" s="90" t="s">
        <v>7</v>
      </c>
      <c r="I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0" s="90" t="s">
        <v>10692</v>
      </c>
    </row>
    <row r="31" spans="1:11">
      <c r="A31" s="90" t="s">
        <v>6512</v>
      </c>
      <c r="B31" s="90" t="s">
        <v>6513</v>
      </c>
      <c r="C31" s="90" t="s">
        <v>13</v>
      </c>
      <c r="D31" s="90" t="str">
        <f>VLOOKUP(Tabela1[[#This Row],[Origem]],'Perguntas 1 a 24'!$J$28:$K$34,2,FALSE)</f>
        <v>Sudeste</v>
      </c>
      <c r="E31" s="90" t="s">
        <v>11370</v>
      </c>
      <c r="F31" s="91">
        <v>45438</v>
      </c>
      <c r="G31" s="92">
        <v>90122</v>
      </c>
      <c r="H31" s="90" t="s">
        <v>14</v>
      </c>
      <c r="I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1" s="90" t="s">
        <v>6513</v>
      </c>
    </row>
    <row r="32" spans="1:11">
      <c r="A32" s="90" t="s">
        <v>8448</v>
      </c>
      <c r="B32" s="90" t="s">
        <v>8449</v>
      </c>
      <c r="C32" s="90" t="s">
        <v>13</v>
      </c>
      <c r="D32" s="90" t="str">
        <f>VLOOKUP(Tabela1[[#This Row],[Origem]],'Perguntas 1 a 24'!$J$28:$K$34,2,FALSE)</f>
        <v>Sudeste</v>
      </c>
      <c r="E32" s="90" t="s">
        <v>11371</v>
      </c>
      <c r="F32" s="91">
        <v>45438</v>
      </c>
      <c r="G32" s="92">
        <v>35450</v>
      </c>
      <c r="H32" s="90" t="s">
        <v>11</v>
      </c>
      <c r="I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2" s="90" t="s">
        <v>8449</v>
      </c>
    </row>
    <row r="33" spans="1:11">
      <c r="A33" s="90" t="s">
        <v>10433</v>
      </c>
      <c r="B33" s="90" t="s">
        <v>10434</v>
      </c>
      <c r="C33" s="90" t="s">
        <v>10</v>
      </c>
      <c r="D33" s="90" t="str">
        <f>VLOOKUP(Tabela1[[#This Row],[Origem]],'Perguntas 1 a 24'!$J$28:$K$34,2,FALSE)</f>
        <v>Centro-Oeste</v>
      </c>
      <c r="E33" s="90" t="s">
        <v>11372</v>
      </c>
      <c r="F33" s="91">
        <v>45438</v>
      </c>
      <c r="G33" s="92">
        <v>114045</v>
      </c>
      <c r="H33" s="90" t="s">
        <v>14</v>
      </c>
      <c r="I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" s="90" t="s">
        <v>10434</v>
      </c>
    </row>
    <row r="34" spans="1:11">
      <c r="A34" s="90" t="s">
        <v>6426</v>
      </c>
      <c r="B34" s="90" t="s">
        <v>6427</v>
      </c>
      <c r="C34" s="90" t="s">
        <v>13</v>
      </c>
      <c r="D34" s="90" t="str">
        <f>VLOOKUP(Tabela1[[#This Row],[Origem]],'Perguntas 1 a 24'!$J$28:$K$34,2,FALSE)</f>
        <v>Sudeste</v>
      </c>
      <c r="E34" s="90" t="s">
        <v>11373</v>
      </c>
      <c r="F34" s="91">
        <v>45441</v>
      </c>
      <c r="G34" s="92">
        <v>103488</v>
      </c>
      <c r="H34" s="90" t="s">
        <v>9</v>
      </c>
      <c r="I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4" s="90" t="s">
        <v>6427</v>
      </c>
    </row>
    <row r="35" spans="1:11">
      <c r="A35" s="90" t="s">
        <v>7310</v>
      </c>
      <c r="B35" s="90" t="s">
        <v>7311</v>
      </c>
      <c r="C35" s="90" t="s">
        <v>12</v>
      </c>
      <c r="D35" s="90" t="str">
        <f>VLOOKUP(Tabela1[[#This Row],[Origem]],'Perguntas 1 a 24'!$J$28:$K$34,2,FALSE)</f>
        <v>Sudeste</v>
      </c>
      <c r="E35" s="90" t="s">
        <v>11374</v>
      </c>
      <c r="F35" s="91">
        <v>45442</v>
      </c>
      <c r="G35" s="92">
        <v>22772</v>
      </c>
      <c r="H35" s="90" t="s">
        <v>11</v>
      </c>
      <c r="I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5" s="90" t="s">
        <v>7311</v>
      </c>
    </row>
    <row r="36" spans="1:11">
      <c r="A36" s="90" t="s">
        <v>8565</v>
      </c>
      <c r="B36" s="90" t="s">
        <v>8566</v>
      </c>
      <c r="C36" s="90" t="s">
        <v>13</v>
      </c>
      <c r="D36" s="90" t="str">
        <f>VLOOKUP(Tabela1[[#This Row],[Origem]],'Perguntas 1 a 24'!$J$28:$K$34,2,FALSE)</f>
        <v>Sudeste</v>
      </c>
      <c r="E36" s="90" t="s">
        <v>11375</v>
      </c>
      <c r="F36" s="91">
        <v>45442</v>
      </c>
      <c r="G36" s="92">
        <v>68472</v>
      </c>
      <c r="H36" s="90" t="s">
        <v>14</v>
      </c>
      <c r="I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6" s="90" t="s">
        <v>8566</v>
      </c>
    </row>
    <row r="37" spans="1:11">
      <c r="A37" s="90" t="s">
        <v>10359</v>
      </c>
      <c r="B37" s="90" t="s">
        <v>10360</v>
      </c>
      <c r="C37" s="90" t="s">
        <v>6</v>
      </c>
      <c r="D37" s="90" t="str">
        <f>VLOOKUP(Tabela1[[#This Row],[Origem]],'Perguntas 1 a 24'!$J$28:$K$34,2,FALSE)</f>
        <v>Nordeste</v>
      </c>
      <c r="E37" s="90" t="s">
        <v>11376</v>
      </c>
      <c r="F37" s="91">
        <v>45443</v>
      </c>
      <c r="G37" s="92">
        <v>43230</v>
      </c>
      <c r="H37" s="90" t="s">
        <v>7</v>
      </c>
      <c r="I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7" s="90" t="s">
        <v>10360</v>
      </c>
    </row>
    <row r="38" spans="1:11">
      <c r="A38" s="90" t="s">
        <v>5254</v>
      </c>
      <c r="B38" s="90" t="s">
        <v>5255</v>
      </c>
      <c r="C38" s="90" t="s">
        <v>10</v>
      </c>
      <c r="D38" s="90" t="str">
        <f>VLOOKUP(Tabela1[[#This Row],[Origem]],'Perguntas 1 a 24'!$J$28:$K$34,2,FALSE)</f>
        <v>Centro-Oeste</v>
      </c>
      <c r="E38" s="90" t="s">
        <v>11377</v>
      </c>
      <c r="F38" s="91">
        <v>45444</v>
      </c>
      <c r="G38" s="92">
        <v>44180</v>
      </c>
      <c r="H38" s="90" t="s">
        <v>11</v>
      </c>
      <c r="I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8" s="90" t="s">
        <v>5255</v>
      </c>
    </row>
    <row r="39" spans="1:11">
      <c r="A39" s="90" t="s">
        <v>3832</v>
      </c>
      <c r="B39" s="90" t="s">
        <v>3833</v>
      </c>
      <c r="C39" s="90" t="s">
        <v>16</v>
      </c>
      <c r="D39" s="90" t="str">
        <f>VLOOKUP(Tabela1[[#This Row],[Origem]],'Perguntas 1 a 24'!$J$28:$K$34,2,FALSE)</f>
        <v>Sudeste</v>
      </c>
      <c r="E39" s="90" t="s">
        <v>11378</v>
      </c>
      <c r="F39" s="91">
        <v>45445</v>
      </c>
      <c r="G39" s="92">
        <v>105592</v>
      </c>
      <c r="H39" s="90" t="s">
        <v>14</v>
      </c>
      <c r="I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" s="90" t="s">
        <v>3833</v>
      </c>
    </row>
    <row r="40" spans="1:11">
      <c r="A40" s="90" t="s">
        <v>8220</v>
      </c>
      <c r="B40" s="90" t="s">
        <v>8221</v>
      </c>
      <c r="C40" s="90" t="s">
        <v>10</v>
      </c>
      <c r="D40" s="90" t="str">
        <f>VLOOKUP(Tabela1[[#This Row],[Origem]],'Perguntas 1 a 24'!$J$28:$K$34,2,FALSE)</f>
        <v>Centro-Oeste</v>
      </c>
      <c r="E40" s="90" t="s">
        <v>11379</v>
      </c>
      <c r="F40" s="91">
        <v>45445</v>
      </c>
      <c r="G40" s="92">
        <v>112672</v>
      </c>
      <c r="H40" s="90" t="s">
        <v>7</v>
      </c>
      <c r="I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" s="90" t="s">
        <v>8221</v>
      </c>
    </row>
    <row r="41" spans="1:11">
      <c r="A41" s="90" t="s">
        <v>8883</v>
      </c>
      <c r="B41" s="90" t="s">
        <v>8884</v>
      </c>
      <c r="C41" s="90" t="s">
        <v>13</v>
      </c>
      <c r="D41" s="90" t="str">
        <f>VLOOKUP(Tabela1[[#This Row],[Origem]],'Perguntas 1 a 24'!$J$28:$K$34,2,FALSE)</f>
        <v>Sudeste</v>
      </c>
      <c r="E41" s="90" t="s">
        <v>11380</v>
      </c>
      <c r="F41" s="91">
        <v>45445</v>
      </c>
      <c r="G41" s="92">
        <v>29614</v>
      </c>
      <c r="H41" s="90" t="s">
        <v>11</v>
      </c>
      <c r="I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1" s="90" t="s">
        <v>8884</v>
      </c>
    </row>
    <row r="42" spans="1:11">
      <c r="A42" s="90" t="s">
        <v>7348</v>
      </c>
      <c r="B42" s="90" t="s">
        <v>7349</v>
      </c>
      <c r="C42" s="90" t="s">
        <v>12</v>
      </c>
      <c r="D42" s="90" t="str">
        <f>VLOOKUP(Tabela1[[#This Row],[Origem]],'Perguntas 1 a 24'!$J$28:$K$34,2,FALSE)</f>
        <v>Sudeste</v>
      </c>
      <c r="E42" s="90" t="s">
        <v>11381</v>
      </c>
      <c r="F42" s="91">
        <v>45446</v>
      </c>
      <c r="G42" s="92">
        <v>113123</v>
      </c>
      <c r="H42" s="90" t="s">
        <v>7</v>
      </c>
      <c r="I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" s="90" t="s">
        <v>7349</v>
      </c>
    </row>
    <row r="43" spans="1:11">
      <c r="A43" s="90" t="s">
        <v>5952</v>
      </c>
      <c r="B43" s="90" t="s">
        <v>5953</v>
      </c>
      <c r="C43" s="90" t="s">
        <v>12</v>
      </c>
      <c r="D43" s="90" t="str">
        <f>VLOOKUP(Tabela1[[#This Row],[Origem]],'Perguntas 1 a 24'!$J$28:$K$34,2,FALSE)</f>
        <v>Sudeste</v>
      </c>
      <c r="E43" s="90" t="s">
        <v>11382</v>
      </c>
      <c r="F43" s="91">
        <v>45447</v>
      </c>
      <c r="G43" s="92">
        <v>26423</v>
      </c>
      <c r="H43" s="90" t="s">
        <v>14</v>
      </c>
      <c r="I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3" s="90" t="s">
        <v>5953</v>
      </c>
    </row>
    <row r="44" spans="1:11">
      <c r="A44" s="90" t="s">
        <v>4810</v>
      </c>
      <c r="B44" s="90" t="s">
        <v>4811</v>
      </c>
      <c r="C44" s="90" t="s">
        <v>12</v>
      </c>
      <c r="D44" s="90" t="str">
        <f>VLOOKUP(Tabela1[[#This Row],[Origem]],'Perguntas 1 a 24'!$J$28:$K$34,2,FALSE)</f>
        <v>Sudeste</v>
      </c>
      <c r="E44" s="90" t="s">
        <v>11383</v>
      </c>
      <c r="F44" s="91">
        <v>45448</v>
      </c>
      <c r="G44" s="92">
        <v>58545</v>
      </c>
      <c r="H44" s="90" t="s">
        <v>14</v>
      </c>
      <c r="I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4" s="90" t="s">
        <v>4811</v>
      </c>
    </row>
    <row r="45" spans="1:11">
      <c r="A45" s="90" t="s">
        <v>5040</v>
      </c>
      <c r="B45" s="90" t="s">
        <v>5041</v>
      </c>
      <c r="C45" s="90" t="s">
        <v>10</v>
      </c>
      <c r="D45" s="90" t="str">
        <f>VLOOKUP(Tabela1[[#This Row],[Origem]],'Perguntas 1 a 24'!$J$28:$K$34,2,FALSE)</f>
        <v>Centro-Oeste</v>
      </c>
      <c r="E45" s="90" t="s">
        <v>11384</v>
      </c>
      <c r="F45" s="91">
        <v>45448</v>
      </c>
      <c r="G45" s="92">
        <v>81935</v>
      </c>
      <c r="H45" s="90" t="s">
        <v>14</v>
      </c>
      <c r="I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5" s="90" t="s">
        <v>5041</v>
      </c>
    </row>
    <row r="46" spans="1:11">
      <c r="A46" s="90" t="s">
        <v>7948</v>
      </c>
      <c r="B46" s="90" t="s">
        <v>7949</v>
      </c>
      <c r="C46" s="90" t="s">
        <v>6</v>
      </c>
      <c r="D46" s="90" t="str">
        <f>VLOOKUP(Tabela1[[#This Row],[Origem]],'Perguntas 1 a 24'!$J$28:$K$34,2,FALSE)</f>
        <v>Nordeste</v>
      </c>
      <c r="E46" s="90" t="s">
        <v>11385</v>
      </c>
      <c r="F46" s="91">
        <v>45448</v>
      </c>
      <c r="G46" s="92">
        <v>72792</v>
      </c>
      <c r="H46" s="90" t="s">
        <v>7</v>
      </c>
      <c r="I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6" s="90" t="s">
        <v>7949</v>
      </c>
    </row>
    <row r="47" spans="1:11">
      <c r="A47" s="90" t="s">
        <v>6850</v>
      </c>
      <c r="B47" s="90" t="s">
        <v>6851</v>
      </c>
      <c r="C47" s="90" t="s">
        <v>16</v>
      </c>
      <c r="D47" s="90" t="str">
        <f>VLOOKUP(Tabela1[[#This Row],[Origem]],'Perguntas 1 a 24'!$J$28:$K$34,2,FALSE)</f>
        <v>Sudeste</v>
      </c>
      <c r="E47" s="90" t="s">
        <v>11386</v>
      </c>
      <c r="F47" s="91">
        <v>45449</v>
      </c>
      <c r="G47" s="92">
        <v>53393</v>
      </c>
      <c r="H47" s="90" t="s">
        <v>11</v>
      </c>
      <c r="I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" s="90" t="s">
        <v>6851</v>
      </c>
    </row>
    <row r="48" spans="1:11">
      <c r="A48" s="90" t="s">
        <v>7068</v>
      </c>
      <c r="B48" s="90" t="s">
        <v>7069</v>
      </c>
      <c r="C48" s="90" t="s">
        <v>13</v>
      </c>
      <c r="D48" s="90" t="str">
        <f>VLOOKUP(Tabela1[[#This Row],[Origem]],'Perguntas 1 a 24'!$J$28:$K$34,2,FALSE)</f>
        <v>Sudeste</v>
      </c>
      <c r="E48" s="90" t="s">
        <v>11387</v>
      </c>
      <c r="F48" s="91">
        <v>45449</v>
      </c>
      <c r="G48" s="92">
        <v>106016</v>
      </c>
      <c r="H48" s="90" t="s">
        <v>14</v>
      </c>
      <c r="I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8" s="90" t="s">
        <v>7069</v>
      </c>
    </row>
    <row r="49" spans="1:11">
      <c r="A49" s="90" t="s">
        <v>7894</v>
      </c>
      <c r="B49" s="90" t="s">
        <v>7895</v>
      </c>
      <c r="C49" s="90" t="s">
        <v>15</v>
      </c>
      <c r="D49" s="90" t="str">
        <f>VLOOKUP(Tabela1[[#This Row],[Origem]],'Perguntas 1 a 24'!$J$28:$K$34,2,FALSE)</f>
        <v>Sudeste</v>
      </c>
      <c r="E49" s="90" t="s">
        <v>11388</v>
      </c>
      <c r="F49" s="91">
        <v>45449</v>
      </c>
      <c r="G49" s="92">
        <v>95049</v>
      </c>
      <c r="H49" s="90" t="s">
        <v>14</v>
      </c>
      <c r="I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" s="90" t="s">
        <v>7895</v>
      </c>
    </row>
    <row r="50" spans="1:11">
      <c r="A50" s="90" t="s">
        <v>5614</v>
      </c>
      <c r="B50" s="90" t="s">
        <v>5615</v>
      </c>
      <c r="C50" s="90" t="s">
        <v>8</v>
      </c>
      <c r="D50" s="90" t="str">
        <f>VLOOKUP(Tabela1[[#This Row],[Origem]],'Perguntas 1 a 24'!$J$28:$K$34,2,FALSE)</f>
        <v>Nordeste</v>
      </c>
      <c r="E50" s="90" t="s">
        <v>11389</v>
      </c>
      <c r="F50" s="91">
        <v>45451</v>
      </c>
      <c r="G50" s="92">
        <v>66710</v>
      </c>
      <c r="H50" s="90" t="s">
        <v>11</v>
      </c>
      <c r="I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" s="90" t="s">
        <v>5615</v>
      </c>
    </row>
    <row r="51" spans="1:11">
      <c r="A51" s="90" t="s">
        <v>3679</v>
      </c>
      <c r="B51" s="90" t="s">
        <v>3680</v>
      </c>
      <c r="C51" s="90" t="s">
        <v>13</v>
      </c>
      <c r="D51" s="90" t="str">
        <f>VLOOKUP(Tabela1[[#This Row],[Origem]],'Perguntas 1 a 24'!$J$28:$K$34,2,FALSE)</f>
        <v>Sudeste</v>
      </c>
      <c r="E51" s="90" t="s">
        <v>11390</v>
      </c>
      <c r="F51" s="91">
        <v>45452</v>
      </c>
      <c r="G51" s="92">
        <v>37411</v>
      </c>
      <c r="H51" s="90" t="s">
        <v>9</v>
      </c>
      <c r="I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1" s="90" t="s">
        <v>3680</v>
      </c>
    </row>
    <row r="52" spans="1:11">
      <c r="A52" s="90" t="s">
        <v>4168</v>
      </c>
      <c r="B52" s="90" t="s">
        <v>4169</v>
      </c>
      <c r="C52" s="90" t="s">
        <v>15</v>
      </c>
      <c r="D52" s="90" t="str">
        <f>VLOOKUP(Tabela1[[#This Row],[Origem]],'Perguntas 1 a 24'!$J$28:$K$34,2,FALSE)</f>
        <v>Sudeste</v>
      </c>
      <c r="E52" s="90" t="s">
        <v>11391</v>
      </c>
      <c r="F52" s="91">
        <v>45452</v>
      </c>
      <c r="G52" s="92">
        <v>75486</v>
      </c>
      <c r="H52" s="90" t="s">
        <v>14</v>
      </c>
      <c r="I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2" s="90" t="s">
        <v>4169</v>
      </c>
    </row>
    <row r="53" spans="1:11">
      <c r="A53" s="90" t="s">
        <v>7370</v>
      </c>
      <c r="B53" s="90" t="s">
        <v>7371</v>
      </c>
      <c r="C53" s="90" t="s">
        <v>6</v>
      </c>
      <c r="D53" s="90" t="str">
        <f>VLOOKUP(Tabela1[[#This Row],[Origem]],'Perguntas 1 a 24'!$J$28:$K$34,2,FALSE)</f>
        <v>Nordeste</v>
      </c>
      <c r="E53" s="90" t="s">
        <v>11392</v>
      </c>
      <c r="F53" s="91">
        <v>45453</v>
      </c>
      <c r="G53" s="92">
        <v>113616</v>
      </c>
      <c r="H53" s="90" t="s">
        <v>11</v>
      </c>
      <c r="I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3" s="90" t="s">
        <v>7371</v>
      </c>
    </row>
    <row r="54" spans="1:11">
      <c r="A54" s="90" t="s">
        <v>10565</v>
      </c>
      <c r="B54" s="90" t="s">
        <v>10566</v>
      </c>
      <c r="C54" s="90" t="s">
        <v>15</v>
      </c>
      <c r="D54" s="90" t="str">
        <f>VLOOKUP(Tabela1[[#This Row],[Origem]],'Perguntas 1 a 24'!$J$28:$K$34,2,FALSE)</f>
        <v>Sudeste</v>
      </c>
      <c r="E54" s="90" t="s">
        <v>11393</v>
      </c>
      <c r="F54" s="91">
        <v>45453</v>
      </c>
      <c r="G54" s="92">
        <v>115995</v>
      </c>
      <c r="H54" s="90" t="s">
        <v>9</v>
      </c>
      <c r="I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" s="90" t="s">
        <v>10566</v>
      </c>
    </row>
    <row r="55" spans="1:11">
      <c r="A55" s="90" t="s">
        <v>5168</v>
      </c>
      <c r="B55" s="90" t="s">
        <v>5169</v>
      </c>
      <c r="C55" s="90" t="s">
        <v>16</v>
      </c>
      <c r="D55" s="90" t="str">
        <f>VLOOKUP(Tabela1[[#This Row],[Origem]],'Perguntas 1 a 24'!$J$28:$K$34,2,FALSE)</f>
        <v>Sudeste</v>
      </c>
      <c r="E55" s="90" t="s">
        <v>11394</v>
      </c>
      <c r="F55" s="91">
        <v>45454</v>
      </c>
      <c r="G55" s="92">
        <v>91480</v>
      </c>
      <c r="H55" s="90" t="s">
        <v>9</v>
      </c>
      <c r="I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" s="90" t="s">
        <v>5169</v>
      </c>
    </row>
    <row r="56" spans="1:11">
      <c r="A56" s="90" t="s">
        <v>9729</v>
      </c>
      <c r="B56" s="90" t="s">
        <v>9730</v>
      </c>
      <c r="C56" s="90" t="s">
        <v>10</v>
      </c>
      <c r="D56" s="90" t="str">
        <f>VLOOKUP(Tabela1[[#This Row],[Origem]],'Perguntas 1 a 24'!$J$28:$K$34,2,FALSE)</f>
        <v>Centro-Oeste</v>
      </c>
      <c r="E56" s="90" t="s">
        <v>11395</v>
      </c>
      <c r="F56" s="91">
        <v>45455</v>
      </c>
      <c r="G56" s="92">
        <v>67593</v>
      </c>
      <c r="H56" s="90" t="s">
        <v>9</v>
      </c>
      <c r="I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6" s="90" t="s">
        <v>9730</v>
      </c>
    </row>
    <row r="57" spans="1:11">
      <c r="A57" s="90" t="s">
        <v>5310</v>
      </c>
      <c r="B57" s="90" t="s">
        <v>5311</v>
      </c>
      <c r="C57" s="90" t="s">
        <v>13</v>
      </c>
      <c r="D57" s="90" t="str">
        <f>VLOOKUP(Tabela1[[#This Row],[Origem]],'Perguntas 1 a 24'!$J$28:$K$34,2,FALSE)</f>
        <v>Sudeste</v>
      </c>
      <c r="E57" s="90" t="s">
        <v>11396</v>
      </c>
      <c r="F57" s="91">
        <v>45456</v>
      </c>
      <c r="G57" s="92">
        <v>30434</v>
      </c>
      <c r="H57" s="90" t="s">
        <v>9</v>
      </c>
      <c r="I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7" s="90" t="s">
        <v>5311</v>
      </c>
    </row>
    <row r="58" spans="1:11">
      <c r="A58" s="90" t="s">
        <v>8466</v>
      </c>
      <c r="B58" s="90" t="s">
        <v>8467</v>
      </c>
      <c r="C58" s="90" t="s">
        <v>10</v>
      </c>
      <c r="D58" s="90" t="str">
        <f>VLOOKUP(Tabela1[[#This Row],[Origem]],'Perguntas 1 a 24'!$J$28:$K$34,2,FALSE)</f>
        <v>Centro-Oeste</v>
      </c>
      <c r="E58" s="90" t="s">
        <v>11397</v>
      </c>
      <c r="F58" s="91">
        <v>45456</v>
      </c>
      <c r="G58" s="92">
        <v>83130</v>
      </c>
      <c r="H58" s="90" t="s">
        <v>11</v>
      </c>
      <c r="I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8" s="90" t="s">
        <v>8467</v>
      </c>
    </row>
    <row r="59" spans="1:11">
      <c r="A59" s="90" t="s">
        <v>10341</v>
      </c>
      <c r="B59" s="90" t="s">
        <v>10342</v>
      </c>
      <c r="C59" s="90" t="s">
        <v>13</v>
      </c>
      <c r="D59" s="90" t="str">
        <f>VLOOKUP(Tabela1[[#This Row],[Origem]],'Perguntas 1 a 24'!$J$28:$K$34,2,FALSE)</f>
        <v>Sudeste</v>
      </c>
      <c r="E59" s="90" t="s">
        <v>11398</v>
      </c>
      <c r="F59" s="91">
        <v>45456</v>
      </c>
      <c r="G59" s="92">
        <v>67780</v>
      </c>
      <c r="H59" s="90" t="s">
        <v>14</v>
      </c>
      <c r="I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" s="90" t="s">
        <v>10342</v>
      </c>
    </row>
    <row r="60" spans="1:11">
      <c r="A60" s="90" t="s">
        <v>5142</v>
      </c>
      <c r="B60" s="90" t="s">
        <v>5143</v>
      </c>
      <c r="C60" s="90" t="s">
        <v>10</v>
      </c>
      <c r="D60" s="90" t="str">
        <f>VLOOKUP(Tabela1[[#This Row],[Origem]],'Perguntas 1 a 24'!$J$28:$K$34,2,FALSE)</f>
        <v>Centro-Oeste</v>
      </c>
      <c r="E60" s="90" t="s">
        <v>11399</v>
      </c>
      <c r="F60" s="91">
        <v>45457</v>
      </c>
      <c r="G60" s="92">
        <v>78973</v>
      </c>
      <c r="H60" s="90" t="s">
        <v>11</v>
      </c>
      <c r="I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" s="90" t="s">
        <v>5143</v>
      </c>
    </row>
    <row r="61" spans="1:11">
      <c r="A61" s="90" t="s">
        <v>10771</v>
      </c>
      <c r="B61" s="90" t="s">
        <v>10772</v>
      </c>
      <c r="C61" s="90" t="s">
        <v>13</v>
      </c>
      <c r="D61" s="90" t="str">
        <f>VLOOKUP(Tabela1[[#This Row],[Origem]],'Perguntas 1 a 24'!$J$28:$K$34,2,FALSE)</f>
        <v>Sudeste</v>
      </c>
      <c r="E61" s="90" t="s">
        <v>11400</v>
      </c>
      <c r="F61" s="91">
        <v>45458</v>
      </c>
      <c r="G61" s="92">
        <v>30991</v>
      </c>
      <c r="H61" s="90" t="s">
        <v>9</v>
      </c>
      <c r="I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1" s="90" t="s">
        <v>10772</v>
      </c>
    </row>
    <row r="62" spans="1:11">
      <c r="A62" s="90" t="s">
        <v>5140</v>
      </c>
      <c r="B62" s="90" t="s">
        <v>5141</v>
      </c>
      <c r="C62" s="90" t="s">
        <v>13</v>
      </c>
      <c r="D62" s="90" t="str">
        <f>VLOOKUP(Tabela1[[#This Row],[Origem]],'Perguntas 1 a 24'!$J$28:$K$34,2,FALSE)</f>
        <v>Sudeste</v>
      </c>
      <c r="E62" s="90" t="s">
        <v>11401</v>
      </c>
      <c r="F62" s="91">
        <v>45459</v>
      </c>
      <c r="G62" s="92">
        <v>65667</v>
      </c>
      <c r="H62" s="90" t="s">
        <v>9</v>
      </c>
      <c r="I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2" s="90" t="s">
        <v>5141</v>
      </c>
    </row>
    <row r="63" spans="1:11">
      <c r="A63" s="90" t="s">
        <v>5846</v>
      </c>
      <c r="B63" s="90" t="s">
        <v>5847</v>
      </c>
      <c r="C63" s="90" t="s">
        <v>10</v>
      </c>
      <c r="D63" s="90" t="str">
        <f>VLOOKUP(Tabela1[[#This Row],[Origem]],'Perguntas 1 a 24'!$J$28:$K$34,2,FALSE)</f>
        <v>Centro-Oeste</v>
      </c>
      <c r="E63" s="90" t="s">
        <v>11402</v>
      </c>
      <c r="F63" s="91">
        <v>45460</v>
      </c>
      <c r="G63" s="92">
        <v>110201</v>
      </c>
      <c r="H63" s="90" t="s">
        <v>11</v>
      </c>
      <c r="I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3" s="90" t="s">
        <v>5847</v>
      </c>
    </row>
    <row r="64" spans="1:11">
      <c r="A64" s="90" t="s">
        <v>7622</v>
      </c>
      <c r="B64" s="90" t="s">
        <v>7623</v>
      </c>
      <c r="C64" s="90" t="s">
        <v>10</v>
      </c>
      <c r="D64" s="90" t="str">
        <f>VLOOKUP(Tabela1[[#This Row],[Origem]],'Perguntas 1 a 24'!$J$28:$K$34,2,FALSE)</f>
        <v>Centro-Oeste</v>
      </c>
      <c r="E64" s="90" t="s">
        <v>11403</v>
      </c>
      <c r="F64" s="91">
        <v>45461</v>
      </c>
      <c r="G64" s="92">
        <v>71440</v>
      </c>
      <c r="H64" s="90" t="s">
        <v>7</v>
      </c>
      <c r="I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4" s="90" t="s">
        <v>7623</v>
      </c>
    </row>
    <row r="65" spans="1:11">
      <c r="A65" s="90" t="s">
        <v>9001</v>
      </c>
      <c r="B65" s="90" t="s">
        <v>9002</v>
      </c>
      <c r="C65" s="90" t="s">
        <v>6</v>
      </c>
      <c r="D65" s="90" t="str">
        <f>VLOOKUP(Tabela1[[#This Row],[Origem]],'Perguntas 1 a 24'!$J$28:$K$34,2,FALSE)</f>
        <v>Nordeste</v>
      </c>
      <c r="E65" s="90" t="s">
        <v>11404</v>
      </c>
      <c r="F65" s="91">
        <v>45461</v>
      </c>
      <c r="G65" s="92">
        <v>93838</v>
      </c>
      <c r="H65" s="90" t="s">
        <v>11</v>
      </c>
      <c r="I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5" s="90" t="s">
        <v>9002</v>
      </c>
    </row>
    <row r="66" spans="1:11">
      <c r="A66" s="90" t="s">
        <v>9323</v>
      </c>
      <c r="B66" s="90" t="s">
        <v>9324</v>
      </c>
      <c r="C66" s="90" t="s">
        <v>13</v>
      </c>
      <c r="D66" s="90" t="str">
        <f>VLOOKUP(Tabela1[[#This Row],[Origem]],'Perguntas 1 a 24'!$J$28:$K$34,2,FALSE)</f>
        <v>Sudeste</v>
      </c>
      <c r="E66" s="90" t="s">
        <v>11405</v>
      </c>
      <c r="F66" s="91">
        <v>45461</v>
      </c>
      <c r="G66" s="92">
        <v>88565</v>
      </c>
      <c r="H66" s="90" t="s">
        <v>11</v>
      </c>
      <c r="I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" s="90" t="s">
        <v>9324</v>
      </c>
    </row>
    <row r="67" spans="1:11">
      <c r="A67" s="90" t="s">
        <v>11137</v>
      </c>
      <c r="B67" s="90" t="s">
        <v>11138</v>
      </c>
      <c r="C67" s="90" t="s">
        <v>10</v>
      </c>
      <c r="D67" s="90" t="str">
        <f>VLOOKUP(Tabela1[[#This Row],[Origem]],'Perguntas 1 a 24'!$J$28:$K$34,2,FALSE)</f>
        <v>Centro-Oeste</v>
      </c>
      <c r="E67" s="90" t="s">
        <v>11406</v>
      </c>
      <c r="F67" s="91">
        <v>45461</v>
      </c>
      <c r="G67" s="92">
        <v>82625</v>
      </c>
      <c r="H67" s="90" t="s">
        <v>7</v>
      </c>
      <c r="I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" s="90" t="s">
        <v>11138</v>
      </c>
    </row>
    <row r="68" spans="1:11">
      <c r="A68" s="90" t="s">
        <v>6476</v>
      </c>
      <c r="B68" s="90" t="s">
        <v>6477</v>
      </c>
      <c r="C68" s="90" t="s">
        <v>13</v>
      </c>
      <c r="D68" s="90" t="str">
        <f>VLOOKUP(Tabela1[[#This Row],[Origem]],'Perguntas 1 a 24'!$J$28:$K$34,2,FALSE)</f>
        <v>Sudeste</v>
      </c>
      <c r="E68" s="90" t="s">
        <v>11407</v>
      </c>
      <c r="F68" s="91">
        <v>45462</v>
      </c>
      <c r="G68" s="92">
        <v>94538</v>
      </c>
      <c r="H68" s="90" t="s">
        <v>11</v>
      </c>
      <c r="I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8" s="90" t="s">
        <v>6477</v>
      </c>
    </row>
    <row r="69" spans="1:11">
      <c r="A69" s="90" t="s">
        <v>9233</v>
      </c>
      <c r="B69" s="90" t="s">
        <v>9234</v>
      </c>
      <c r="C69" s="90" t="s">
        <v>6</v>
      </c>
      <c r="D69" s="90" t="str">
        <f>VLOOKUP(Tabela1[[#This Row],[Origem]],'Perguntas 1 a 24'!$J$28:$K$34,2,FALSE)</f>
        <v>Nordeste</v>
      </c>
      <c r="E69" s="90" t="s">
        <v>11408</v>
      </c>
      <c r="F69" s="91">
        <v>45463</v>
      </c>
      <c r="G69" s="92">
        <v>46624</v>
      </c>
      <c r="H69" s="90" t="s">
        <v>14</v>
      </c>
      <c r="I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9" s="90" t="s">
        <v>9234</v>
      </c>
    </row>
    <row r="70" spans="1:11">
      <c r="A70" s="90" t="s">
        <v>8310</v>
      </c>
      <c r="B70" s="90" t="s">
        <v>8311</v>
      </c>
      <c r="C70" s="90" t="s">
        <v>15</v>
      </c>
      <c r="D70" s="90" t="str">
        <f>VLOOKUP(Tabela1[[#This Row],[Origem]],'Perguntas 1 a 24'!$J$28:$K$34,2,FALSE)</f>
        <v>Sudeste</v>
      </c>
      <c r="E70" s="90" t="s">
        <v>11409</v>
      </c>
      <c r="F70" s="91">
        <v>45464</v>
      </c>
      <c r="G70" s="92">
        <v>119634</v>
      </c>
      <c r="H70" s="90" t="s">
        <v>9</v>
      </c>
      <c r="I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0" s="90" t="s">
        <v>8311</v>
      </c>
    </row>
    <row r="71" spans="1:11">
      <c r="A71" s="90" t="s">
        <v>5640</v>
      </c>
      <c r="B71" s="90" t="s">
        <v>5641</v>
      </c>
      <c r="C71" s="90" t="s">
        <v>13</v>
      </c>
      <c r="D71" s="90" t="str">
        <f>VLOOKUP(Tabela1[[#This Row],[Origem]],'Perguntas 1 a 24'!$J$28:$K$34,2,FALSE)</f>
        <v>Sudeste</v>
      </c>
      <c r="E71" s="90" t="s">
        <v>11410</v>
      </c>
      <c r="F71" s="91">
        <v>45465</v>
      </c>
      <c r="G71" s="92">
        <v>72216</v>
      </c>
      <c r="H71" s="90" t="s">
        <v>7</v>
      </c>
      <c r="I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1" s="90" t="s">
        <v>5641</v>
      </c>
    </row>
    <row r="72" spans="1:11">
      <c r="A72" s="90" t="s">
        <v>8206</v>
      </c>
      <c r="B72" s="90" t="s">
        <v>8207</v>
      </c>
      <c r="C72" s="90" t="s">
        <v>16</v>
      </c>
      <c r="D72" s="90" t="str">
        <f>VLOOKUP(Tabela1[[#This Row],[Origem]],'Perguntas 1 a 24'!$J$28:$K$34,2,FALSE)</f>
        <v>Sudeste</v>
      </c>
      <c r="E72" s="90" t="s">
        <v>11411</v>
      </c>
      <c r="F72" s="91">
        <v>45465</v>
      </c>
      <c r="G72" s="92">
        <v>23524</v>
      </c>
      <c r="H72" s="90" t="s">
        <v>11</v>
      </c>
      <c r="I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2" s="90" t="s">
        <v>8207</v>
      </c>
    </row>
    <row r="73" spans="1:11">
      <c r="A73" s="90" t="s">
        <v>4798</v>
      </c>
      <c r="B73" s="90" t="s">
        <v>4799</v>
      </c>
      <c r="C73" s="90" t="s">
        <v>12</v>
      </c>
      <c r="D73" s="90" t="str">
        <f>VLOOKUP(Tabela1[[#This Row],[Origem]],'Perguntas 1 a 24'!$J$28:$K$34,2,FALSE)</f>
        <v>Sudeste</v>
      </c>
      <c r="E73" s="90" t="s">
        <v>11412</v>
      </c>
      <c r="F73" s="91">
        <v>45466</v>
      </c>
      <c r="G73" s="92">
        <v>114974</v>
      </c>
      <c r="H73" s="90" t="s">
        <v>14</v>
      </c>
      <c r="I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3" s="90" t="s">
        <v>4799</v>
      </c>
    </row>
    <row r="74" spans="1:11">
      <c r="A74" s="90" t="s">
        <v>8775</v>
      </c>
      <c r="B74" s="90" t="s">
        <v>8776</v>
      </c>
      <c r="C74" s="90" t="s">
        <v>6</v>
      </c>
      <c r="D74" s="90" t="str">
        <f>VLOOKUP(Tabela1[[#This Row],[Origem]],'Perguntas 1 a 24'!$J$28:$K$34,2,FALSE)</f>
        <v>Nordeste</v>
      </c>
      <c r="E74" s="90" t="s">
        <v>11413</v>
      </c>
      <c r="F74" s="91">
        <v>45467</v>
      </c>
      <c r="G74" s="92">
        <v>40393</v>
      </c>
      <c r="H74" s="90" t="s">
        <v>11</v>
      </c>
      <c r="I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4" s="90" t="s">
        <v>8776</v>
      </c>
    </row>
    <row r="75" spans="1:11">
      <c r="A75" s="90" t="s">
        <v>7248</v>
      </c>
      <c r="B75" s="90" t="s">
        <v>7249</v>
      </c>
      <c r="C75" s="90" t="s">
        <v>8</v>
      </c>
      <c r="D75" s="90" t="str">
        <f>VLOOKUP(Tabela1[[#This Row],[Origem]],'Perguntas 1 a 24'!$J$28:$K$34,2,FALSE)</f>
        <v>Nordeste</v>
      </c>
      <c r="E75" s="90" t="s">
        <v>11414</v>
      </c>
      <c r="F75" s="91">
        <v>45468</v>
      </c>
      <c r="G75" s="92">
        <v>59877</v>
      </c>
      <c r="H75" s="90" t="s">
        <v>11</v>
      </c>
      <c r="I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" s="90" t="s">
        <v>7249</v>
      </c>
    </row>
    <row r="76" spans="1:11">
      <c r="A76" s="90" t="s">
        <v>9579</v>
      </c>
      <c r="B76" s="90" t="s">
        <v>9580</v>
      </c>
      <c r="C76" s="90" t="s">
        <v>16</v>
      </c>
      <c r="D76" s="90" t="str">
        <f>VLOOKUP(Tabela1[[#This Row],[Origem]],'Perguntas 1 a 24'!$J$28:$K$34,2,FALSE)</f>
        <v>Sudeste</v>
      </c>
      <c r="E76" s="90" t="s">
        <v>11415</v>
      </c>
      <c r="F76" s="91">
        <v>45469</v>
      </c>
      <c r="G76" s="92">
        <v>51549</v>
      </c>
      <c r="H76" s="90" t="s">
        <v>14</v>
      </c>
      <c r="I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6" s="90" t="s">
        <v>9580</v>
      </c>
    </row>
    <row r="77" spans="1:11">
      <c r="A77" s="90" t="s">
        <v>5818</v>
      </c>
      <c r="B77" s="90" t="s">
        <v>5819</v>
      </c>
      <c r="C77" s="90" t="s">
        <v>8</v>
      </c>
      <c r="D77" s="90" t="str">
        <f>VLOOKUP(Tabela1[[#This Row],[Origem]],'Perguntas 1 a 24'!$J$28:$K$34,2,FALSE)</f>
        <v>Nordeste</v>
      </c>
      <c r="E77" s="90" t="s">
        <v>11416</v>
      </c>
      <c r="F77" s="91">
        <v>45470</v>
      </c>
      <c r="G77" s="92">
        <v>30633</v>
      </c>
      <c r="H77" s="90" t="s">
        <v>14</v>
      </c>
      <c r="I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7" s="90" t="s">
        <v>5819</v>
      </c>
    </row>
    <row r="78" spans="1:11">
      <c r="A78" s="90" t="s">
        <v>10899</v>
      </c>
      <c r="B78" s="90" t="s">
        <v>10900</v>
      </c>
      <c r="C78" s="90" t="s">
        <v>10</v>
      </c>
      <c r="D78" s="90" t="str">
        <f>VLOOKUP(Tabela1[[#This Row],[Origem]],'Perguntas 1 a 24'!$J$28:$K$34,2,FALSE)</f>
        <v>Centro-Oeste</v>
      </c>
      <c r="E78" s="90" t="s">
        <v>11417</v>
      </c>
      <c r="F78" s="91">
        <v>45470</v>
      </c>
      <c r="G78" s="92">
        <v>60070</v>
      </c>
      <c r="H78" s="90" t="s">
        <v>9</v>
      </c>
      <c r="I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" s="90" t="s">
        <v>10900</v>
      </c>
    </row>
    <row r="79" spans="1:11">
      <c r="A79" s="90" t="s">
        <v>6794</v>
      </c>
      <c r="B79" s="90" t="s">
        <v>6795</v>
      </c>
      <c r="C79" s="90" t="s">
        <v>10</v>
      </c>
      <c r="D79" s="90" t="str">
        <f>VLOOKUP(Tabela1[[#This Row],[Origem]],'Perguntas 1 a 24'!$J$28:$K$34,2,FALSE)</f>
        <v>Centro-Oeste</v>
      </c>
      <c r="E79" s="90" t="s">
        <v>11418</v>
      </c>
      <c r="F79" s="91">
        <v>45471</v>
      </c>
      <c r="G79" s="92">
        <v>98564</v>
      </c>
      <c r="H79" s="90" t="s">
        <v>11</v>
      </c>
      <c r="I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" s="90" t="s">
        <v>6795</v>
      </c>
    </row>
    <row r="80" spans="1:11">
      <c r="A80" s="90" t="s">
        <v>4724</v>
      </c>
      <c r="B80" s="90" t="s">
        <v>4725</v>
      </c>
      <c r="C80" s="90" t="s">
        <v>16</v>
      </c>
      <c r="D80" s="90" t="str">
        <f>VLOOKUP(Tabela1[[#This Row],[Origem]],'Perguntas 1 a 24'!$J$28:$K$34,2,FALSE)</f>
        <v>Sudeste</v>
      </c>
      <c r="E80" s="90" t="s">
        <v>11419</v>
      </c>
      <c r="F80" s="91">
        <v>45474</v>
      </c>
      <c r="G80" s="92">
        <v>45728</v>
      </c>
      <c r="H80" s="90" t="s">
        <v>7</v>
      </c>
      <c r="I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0" s="90" t="s">
        <v>4725</v>
      </c>
    </row>
    <row r="81" spans="1:11">
      <c r="A81" s="90" t="s">
        <v>5080</v>
      </c>
      <c r="B81" s="90" t="s">
        <v>5081</v>
      </c>
      <c r="C81" s="90" t="s">
        <v>15</v>
      </c>
      <c r="D81" s="90" t="str">
        <f>VLOOKUP(Tabela1[[#This Row],[Origem]],'Perguntas 1 a 24'!$J$28:$K$34,2,FALSE)</f>
        <v>Sudeste</v>
      </c>
      <c r="E81" s="90" t="s">
        <v>11420</v>
      </c>
      <c r="F81" s="91">
        <v>45475</v>
      </c>
      <c r="G81" s="92">
        <v>52678</v>
      </c>
      <c r="H81" s="90" t="s">
        <v>7</v>
      </c>
      <c r="I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" s="90" t="s">
        <v>5081</v>
      </c>
    </row>
    <row r="82" spans="1:11">
      <c r="A82" s="90" t="s">
        <v>5852</v>
      </c>
      <c r="B82" s="90" t="s">
        <v>5853</v>
      </c>
      <c r="C82" s="90" t="s">
        <v>8</v>
      </c>
      <c r="D82" s="90" t="str">
        <f>VLOOKUP(Tabela1[[#This Row],[Origem]],'Perguntas 1 a 24'!$J$28:$K$34,2,FALSE)</f>
        <v>Nordeste</v>
      </c>
      <c r="E82" s="90" t="s">
        <v>11421</v>
      </c>
      <c r="F82" s="91">
        <v>45475</v>
      </c>
      <c r="G82" s="92">
        <v>111849</v>
      </c>
      <c r="H82" s="90" t="s">
        <v>9</v>
      </c>
      <c r="I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2" s="90" t="s">
        <v>5853</v>
      </c>
    </row>
    <row r="83" spans="1:11">
      <c r="A83" s="90" t="s">
        <v>9897</v>
      </c>
      <c r="B83" s="90" t="s">
        <v>9898</v>
      </c>
      <c r="C83" s="90" t="s">
        <v>6</v>
      </c>
      <c r="D83" s="90" t="str">
        <f>VLOOKUP(Tabela1[[#This Row],[Origem]],'Perguntas 1 a 24'!$J$28:$K$34,2,FALSE)</f>
        <v>Nordeste</v>
      </c>
      <c r="E83" s="90" t="s">
        <v>11422</v>
      </c>
      <c r="F83" s="91">
        <v>45476</v>
      </c>
      <c r="G83" s="92">
        <v>35691</v>
      </c>
      <c r="H83" s="90" t="s">
        <v>7</v>
      </c>
      <c r="I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3" s="90" t="s">
        <v>9898</v>
      </c>
    </row>
    <row r="84" spans="1:11">
      <c r="A84" s="90" t="s">
        <v>3918</v>
      </c>
      <c r="B84" s="90" t="s">
        <v>3919</v>
      </c>
      <c r="C84" s="90" t="s">
        <v>10</v>
      </c>
      <c r="D84" s="90" t="str">
        <f>VLOOKUP(Tabela1[[#This Row],[Origem]],'Perguntas 1 a 24'!$J$28:$K$34,2,FALSE)</f>
        <v>Centro-Oeste</v>
      </c>
      <c r="E84" s="90" t="s">
        <v>11423</v>
      </c>
      <c r="F84" s="91">
        <v>45478</v>
      </c>
      <c r="G84" s="92">
        <v>117394</v>
      </c>
      <c r="H84" s="90" t="s">
        <v>7</v>
      </c>
      <c r="I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" s="90" t="s">
        <v>3919</v>
      </c>
    </row>
    <row r="85" spans="1:11">
      <c r="A85" s="90" t="s">
        <v>10461</v>
      </c>
      <c r="B85" s="90" t="s">
        <v>10462</v>
      </c>
      <c r="C85" s="90" t="s">
        <v>6</v>
      </c>
      <c r="D85" s="90" t="str">
        <f>VLOOKUP(Tabela1[[#This Row],[Origem]],'Perguntas 1 a 24'!$J$28:$K$34,2,FALSE)</f>
        <v>Nordeste</v>
      </c>
      <c r="E85" s="90" t="s">
        <v>11424</v>
      </c>
      <c r="F85" s="91">
        <v>45478</v>
      </c>
      <c r="G85" s="92">
        <v>49455</v>
      </c>
      <c r="H85" s="90" t="s">
        <v>7</v>
      </c>
      <c r="I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5" s="90" t="s">
        <v>10462</v>
      </c>
    </row>
    <row r="86" spans="1:11">
      <c r="A86" s="90" t="s">
        <v>6890</v>
      </c>
      <c r="B86" s="90" t="s">
        <v>6891</v>
      </c>
      <c r="C86" s="90" t="s">
        <v>8</v>
      </c>
      <c r="D86" s="90" t="str">
        <f>VLOOKUP(Tabela1[[#This Row],[Origem]],'Perguntas 1 a 24'!$J$28:$K$34,2,FALSE)</f>
        <v>Nordeste</v>
      </c>
      <c r="E86" s="90" t="s">
        <v>11425</v>
      </c>
      <c r="F86" s="91">
        <v>45479</v>
      </c>
      <c r="G86" s="92">
        <v>85480</v>
      </c>
      <c r="H86" s="90" t="s">
        <v>14</v>
      </c>
      <c r="I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" s="90" t="s">
        <v>6891</v>
      </c>
    </row>
    <row r="87" spans="1:11">
      <c r="A87" s="90" t="s">
        <v>7240</v>
      </c>
      <c r="B87" s="90" t="s">
        <v>7241</v>
      </c>
      <c r="C87" s="90" t="s">
        <v>12</v>
      </c>
      <c r="D87" s="90" t="str">
        <f>VLOOKUP(Tabela1[[#This Row],[Origem]],'Perguntas 1 a 24'!$J$28:$K$34,2,FALSE)</f>
        <v>Sudeste</v>
      </c>
      <c r="E87" s="90" t="s">
        <v>11426</v>
      </c>
      <c r="F87" s="91">
        <v>45479</v>
      </c>
      <c r="G87" s="92">
        <v>35443</v>
      </c>
      <c r="H87" s="90" t="s">
        <v>7</v>
      </c>
      <c r="I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7" s="90" t="s">
        <v>7241</v>
      </c>
    </row>
    <row r="88" spans="1:11">
      <c r="A88" s="90" t="s">
        <v>9459</v>
      </c>
      <c r="B88" s="90" t="s">
        <v>9460</v>
      </c>
      <c r="C88" s="90" t="s">
        <v>10</v>
      </c>
      <c r="D88" s="90" t="str">
        <f>VLOOKUP(Tabela1[[#This Row],[Origem]],'Perguntas 1 a 24'!$J$28:$K$34,2,FALSE)</f>
        <v>Centro-Oeste</v>
      </c>
      <c r="E88" s="90" t="s">
        <v>11427</v>
      </c>
      <c r="F88" s="91">
        <v>45480</v>
      </c>
      <c r="G88" s="92">
        <v>31688</v>
      </c>
      <c r="H88" s="90" t="s">
        <v>7</v>
      </c>
      <c r="I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8" s="90" t="s">
        <v>9460</v>
      </c>
    </row>
    <row r="89" spans="1:11">
      <c r="A89" s="90" t="s">
        <v>6314</v>
      </c>
      <c r="B89" s="90" t="s">
        <v>6315</v>
      </c>
      <c r="C89" s="90" t="s">
        <v>16</v>
      </c>
      <c r="D89" s="90" t="str">
        <f>VLOOKUP(Tabela1[[#This Row],[Origem]],'Perguntas 1 a 24'!$J$28:$K$34,2,FALSE)</f>
        <v>Sudeste</v>
      </c>
      <c r="E89" s="90" t="s">
        <v>11428</v>
      </c>
      <c r="F89" s="91">
        <v>45481</v>
      </c>
      <c r="G89" s="92">
        <v>89123</v>
      </c>
      <c r="H89" s="90" t="s">
        <v>9</v>
      </c>
      <c r="I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" s="90" t="s">
        <v>6315</v>
      </c>
    </row>
    <row r="90" spans="1:11">
      <c r="A90" s="90" t="s">
        <v>6460</v>
      </c>
      <c r="B90" s="90" t="s">
        <v>6461</v>
      </c>
      <c r="C90" s="90" t="s">
        <v>13</v>
      </c>
      <c r="D90" s="90" t="str">
        <f>VLOOKUP(Tabela1[[#This Row],[Origem]],'Perguntas 1 a 24'!$J$28:$K$34,2,FALSE)</f>
        <v>Sudeste</v>
      </c>
      <c r="E90" s="90" t="s">
        <v>11429</v>
      </c>
      <c r="F90" s="91">
        <v>45481</v>
      </c>
      <c r="G90" s="92">
        <v>35521</v>
      </c>
      <c r="H90" s="90" t="s">
        <v>9</v>
      </c>
      <c r="I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0" s="90" t="s">
        <v>6461</v>
      </c>
    </row>
    <row r="91" spans="1:11">
      <c r="A91" s="90" t="s">
        <v>10321</v>
      </c>
      <c r="B91" s="90" t="s">
        <v>10322</v>
      </c>
      <c r="C91" s="90" t="s">
        <v>13</v>
      </c>
      <c r="D91" s="90" t="str">
        <f>VLOOKUP(Tabela1[[#This Row],[Origem]],'Perguntas 1 a 24'!$J$28:$K$34,2,FALSE)</f>
        <v>Sudeste</v>
      </c>
      <c r="E91" s="90" t="s">
        <v>11430</v>
      </c>
      <c r="F91" s="91">
        <v>45484</v>
      </c>
      <c r="G91" s="92">
        <v>76373</v>
      </c>
      <c r="H91" s="90" t="s">
        <v>11</v>
      </c>
      <c r="I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1" s="90" t="s">
        <v>10322</v>
      </c>
    </row>
    <row r="92" spans="1:11">
      <c r="A92" s="90" t="s">
        <v>4748</v>
      </c>
      <c r="B92" s="90" t="s">
        <v>4749</v>
      </c>
      <c r="C92" s="90" t="s">
        <v>16</v>
      </c>
      <c r="D92" s="90" t="str">
        <f>VLOOKUP(Tabela1[[#This Row],[Origem]],'Perguntas 1 a 24'!$J$28:$K$34,2,FALSE)</f>
        <v>Sudeste</v>
      </c>
      <c r="E92" s="90" t="s">
        <v>11431</v>
      </c>
      <c r="F92" s="91">
        <v>45485</v>
      </c>
      <c r="G92" s="92">
        <v>80958</v>
      </c>
      <c r="H92" s="90" t="s">
        <v>11</v>
      </c>
      <c r="I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2" s="90" t="s">
        <v>4749</v>
      </c>
    </row>
    <row r="93" spans="1:11">
      <c r="A93" s="90" t="s">
        <v>9071</v>
      </c>
      <c r="B93" s="90" t="s">
        <v>9072</v>
      </c>
      <c r="C93" s="90" t="s">
        <v>10</v>
      </c>
      <c r="D93" s="90" t="str">
        <f>VLOOKUP(Tabela1[[#This Row],[Origem]],'Perguntas 1 a 24'!$J$28:$K$34,2,FALSE)</f>
        <v>Centro-Oeste</v>
      </c>
      <c r="E93" s="90" t="s">
        <v>11432</v>
      </c>
      <c r="F93" s="91">
        <v>45485</v>
      </c>
      <c r="G93" s="92">
        <v>61709</v>
      </c>
      <c r="H93" s="90" t="s">
        <v>14</v>
      </c>
      <c r="I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" s="90" t="s">
        <v>9072</v>
      </c>
    </row>
    <row r="94" spans="1:11">
      <c r="A94" s="90" t="s">
        <v>9215</v>
      </c>
      <c r="B94" s="90" t="s">
        <v>9216</v>
      </c>
      <c r="C94" s="90" t="s">
        <v>8</v>
      </c>
      <c r="D94" s="90" t="str">
        <f>VLOOKUP(Tabela1[[#This Row],[Origem]],'Perguntas 1 a 24'!$J$28:$K$34,2,FALSE)</f>
        <v>Nordeste</v>
      </c>
      <c r="E94" s="90" t="s">
        <v>11433</v>
      </c>
      <c r="F94" s="91">
        <v>45485</v>
      </c>
      <c r="G94" s="92">
        <v>52652</v>
      </c>
      <c r="H94" s="90" t="s">
        <v>9</v>
      </c>
      <c r="I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" s="90" t="s">
        <v>9216</v>
      </c>
    </row>
    <row r="95" spans="1:11">
      <c r="A95" s="90" t="s">
        <v>6240</v>
      </c>
      <c r="B95" s="90" t="s">
        <v>6241</v>
      </c>
      <c r="C95" s="90" t="s">
        <v>15</v>
      </c>
      <c r="D95" s="90" t="str">
        <f>VLOOKUP(Tabela1[[#This Row],[Origem]],'Perguntas 1 a 24'!$J$28:$K$34,2,FALSE)</f>
        <v>Sudeste</v>
      </c>
      <c r="E95" s="90" t="s">
        <v>11434</v>
      </c>
      <c r="F95" s="91">
        <v>45486</v>
      </c>
      <c r="G95" s="92">
        <v>65832</v>
      </c>
      <c r="H95" s="90" t="s">
        <v>14</v>
      </c>
      <c r="I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5" s="90" t="s">
        <v>6241</v>
      </c>
    </row>
    <row r="96" spans="1:11">
      <c r="A96" s="90" t="s">
        <v>6772</v>
      </c>
      <c r="B96" s="90" t="s">
        <v>6773</v>
      </c>
      <c r="C96" s="90" t="s">
        <v>15</v>
      </c>
      <c r="D96" s="90" t="str">
        <f>VLOOKUP(Tabela1[[#This Row],[Origem]],'Perguntas 1 a 24'!$J$28:$K$34,2,FALSE)</f>
        <v>Sudeste</v>
      </c>
      <c r="E96" s="90" t="s">
        <v>11435</v>
      </c>
      <c r="F96" s="91">
        <v>45486</v>
      </c>
      <c r="G96" s="92">
        <v>65938</v>
      </c>
      <c r="H96" s="90" t="s">
        <v>9</v>
      </c>
      <c r="I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6" s="90" t="s">
        <v>6773</v>
      </c>
    </row>
    <row r="97" spans="1:11">
      <c r="A97" s="90" t="s">
        <v>7630</v>
      </c>
      <c r="B97" s="90" t="s">
        <v>7631</v>
      </c>
      <c r="C97" s="90" t="s">
        <v>13</v>
      </c>
      <c r="D97" s="90" t="str">
        <f>VLOOKUP(Tabela1[[#This Row],[Origem]],'Perguntas 1 a 24'!$J$28:$K$34,2,FALSE)</f>
        <v>Sudeste</v>
      </c>
      <c r="E97" s="90" t="s">
        <v>11436</v>
      </c>
      <c r="F97" s="91">
        <v>45486</v>
      </c>
      <c r="G97" s="92">
        <v>115178</v>
      </c>
      <c r="H97" s="90" t="s">
        <v>9</v>
      </c>
      <c r="I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7" s="90" t="s">
        <v>7631</v>
      </c>
    </row>
    <row r="98" spans="1:11">
      <c r="A98" s="90" t="s">
        <v>6628</v>
      </c>
      <c r="B98" s="90" t="s">
        <v>6629</v>
      </c>
      <c r="C98" s="90" t="s">
        <v>13</v>
      </c>
      <c r="D98" s="90" t="str">
        <f>VLOOKUP(Tabela1[[#This Row],[Origem]],'Perguntas 1 a 24'!$J$28:$K$34,2,FALSE)</f>
        <v>Sudeste</v>
      </c>
      <c r="E98" s="90" t="s">
        <v>11437</v>
      </c>
      <c r="F98" s="91">
        <v>45487</v>
      </c>
      <c r="G98" s="92">
        <v>66892</v>
      </c>
      <c r="H98" s="90" t="s">
        <v>14</v>
      </c>
      <c r="I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8" s="90" t="s">
        <v>6629</v>
      </c>
    </row>
    <row r="99" spans="1:11">
      <c r="A99" s="90" t="s">
        <v>8284</v>
      </c>
      <c r="B99" s="90" t="s">
        <v>8285</v>
      </c>
      <c r="C99" s="90" t="s">
        <v>16</v>
      </c>
      <c r="D99" s="90" t="str">
        <f>VLOOKUP(Tabela1[[#This Row],[Origem]],'Perguntas 1 a 24'!$J$28:$K$34,2,FALSE)</f>
        <v>Sudeste</v>
      </c>
      <c r="E99" s="90" t="s">
        <v>11438</v>
      </c>
      <c r="F99" s="91">
        <v>45487</v>
      </c>
      <c r="G99" s="92">
        <v>37485</v>
      </c>
      <c r="H99" s="90" t="s">
        <v>14</v>
      </c>
      <c r="I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9" s="90" t="s">
        <v>8285</v>
      </c>
    </row>
    <row r="100" spans="1:11">
      <c r="A100" s="90" t="s">
        <v>5758</v>
      </c>
      <c r="B100" s="90" t="s">
        <v>5759</v>
      </c>
      <c r="C100" s="90" t="s">
        <v>15</v>
      </c>
      <c r="D100" s="90" t="str">
        <f>VLOOKUP(Tabela1[[#This Row],[Origem]],'Perguntas 1 a 24'!$J$28:$K$34,2,FALSE)</f>
        <v>Sudeste</v>
      </c>
      <c r="E100" s="90" t="s">
        <v>11439</v>
      </c>
      <c r="F100" s="91">
        <v>45488</v>
      </c>
      <c r="G100" s="92">
        <v>103117</v>
      </c>
      <c r="H100" s="90" t="s">
        <v>9</v>
      </c>
      <c r="I1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00" s="90" t="s">
        <v>5759</v>
      </c>
    </row>
    <row r="101" spans="1:11">
      <c r="A101" s="90" t="s">
        <v>5990</v>
      </c>
      <c r="B101" s="90" t="s">
        <v>5991</v>
      </c>
      <c r="C101" s="90" t="s">
        <v>6</v>
      </c>
      <c r="D101" s="90" t="str">
        <f>VLOOKUP(Tabela1[[#This Row],[Origem]],'Perguntas 1 a 24'!$J$28:$K$34,2,FALSE)</f>
        <v>Nordeste</v>
      </c>
      <c r="E101" s="90" t="s">
        <v>11440</v>
      </c>
      <c r="F101" s="91">
        <v>45488</v>
      </c>
      <c r="G101" s="92">
        <v>64220</v>
      </c>
      <c r="H101" s="90" t="s">
        <v>11</v>
      </c>
      <c r="I1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01" s="90" t="s">
        <v>5991</v>
      </c>
    </row>
    <row r="102" spans="1:11">
      <c r="A102" s="90" t="s">
        <v>5794</v>
      </c>
      <c r="B102" s="90" t="s">
        <v>5795</v>
      </c>
      <c r="C102" s="90" t="s">
        <v>16</v>
      </c>
      <c r="D102" s="90" t="str">
        <f>VLOOKUP(Tabela1[[#This Row],[Origem]],'Perguntas 1 a 24'!$J$28:$K$34,2,FALSE)</f>
        <v>Sudeste</v>
      </c>
      <c r="E102" s="90" t="s">
        <v>11441</v>
      </c>
      <c r="F102" s="91">
        <v>45489</v>
      </c>
      <c r="G102" s="92">
        <v>44896</v>
      </c>
      <c r="H102" s="90" t="s">
        <v>11</v>
      </c>
      <c r="I1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02" s="90" t="s">
        <v>5795</v>
      </c>
    </row>
    <row r="103" spans="1:11">
      <c r="A103" s="90" t="s">
        <v>7296</v>
      </c>
      <c r="B103" s="90" t="s">
        <v>7297</v>
      </c>
      <c r="C103" s="90" t="s">
        <v>10</v>
      </c>
      <c r="D103" s="90" t="str">
        <f>VLOOKUP(Tabela1[[#This Row],[Origem]],'Perguntas 1 a 24'!$J$28:$K$34,2,FALSE)</f>
        <v>Centro-Oeste</v>
      </c>
      <c r="E103" s="90" t="s">
        <v>11442</v>
      </c>
      <c r="F103" s="91">
        <v>45489</v>
      </c>
      <c r="G103" s="92">
        <v>37900</v>
      </c>
      <c r="H103" s="90" t="s">
        <v>9</v>
      </c>
      <c r="I1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03" s="90" t="s">
        <v>7297</v>
      </c>
    </row>
    <row r="104" spans="1:11">
      <c r="A104" s="90" t="s">
        <v>9265</v>
      </c>
      <c r="B104" s="90" t="s">
        <v>9266</v>
      </c>
      <c r="C104" s="90" t="s">
        <v>15</v>
      </c>
      <c r="D104" s="90" t="str">
        <f>VLOOKUP(Tabela1[[#This Row],[Origem]],'Perguntas 1 a 24'!$J$28:$K$34,2,FALSE)</f>
        <v>Sudeste</v>
      </c>
      <c r="E104" s="90" t="s">
        <v>11443</v>
      </c>
      <c r="F104" s="91">
        <v>45489</v>
      </c>
      <c r="G104" s="92">
        <v>49114</v>
      </c>
      <c r="H104" s="90" t="s">
        <v>14</v>
      </c>
      <c r="I1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04" s="90" t="s">
        <v>9266</v>
      </c>
    </row>
    <row r="105" spans="1:11">
      <c r="A105" s="90" t="s">
        <v>9609</v>
      </c>
      <c r="B105" s="90" t="s">
        <v>9610</v>
      </c>
      <c r="C105" s="90" t="s">
        <v>12</v>
      </c>
      <c r="D105" s="90" t="str">
        <f>VLOOKUP(Tabela1[[#This Row],[Origem]],'Perguntas 1 a 24'!$J$28:$K$34,2,FALSE)</f>
        <v>Sudeste</v>
      </c>
      <c r="E105" s="90" t="s">
        <v>11444</v>
      </c>
      <c r="F105" s="91">
        <v>45490</v>
      </c>
      <c r="G105" s="92">
        <v>61958</v>
      </c>
      <c r="H105" s="90" t="s">
        <v>14</v>
      </c>
      <c r="I1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05" s="90" t="s">
        <v>9610</v>
      </c>
    </row>
    <row r="106" spans="1:11">
      <c r="A106" s="90" t="s">
        <v>3818</v>
      </c>
      <c r="B106" s="90" t="s">
        <v>3819</v>
      </c>
      <c r="C106" s="90" t="s">
        <v>6</v>
      </c>
      <c r="D106" s="90" t="str">
        <f>VLOOKUP(Tabela1[[#This Row],[Origem]],'Perguntas 1 a 24'!$J$28:$K$34,2,FALSE)</f>
        <v>Nordeste</v>
      </c>
      <c r="E106" s="90" t="s">
        <v>11445</v>
      </c>
      <c r="F106" s="91">
        <v>45491</v>
      </c>
      <c r="G106" s="92">
        <v>85701</v>
      </c>
      <c r="H106" s="90" t="s">
        <v>9</v>
      </c>
      <c r="I1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06" s="90" t="s">
        <v>3819</v>
      </c>
    </row>
    <row r="107" spans="1:11">
      <c r="A107" s="90" t="s">
        <v>6008</v>
      </c>
      <c r="B107" s="90" t="s">
        <v>6009</v>
      </c>
      <c r="C107" s="90" t="s">
        <v>12</v>
      </c>
      <c r="D107" s="90" t="str">
        <f>VLOOKUP(Tabela1[[#This Row],[Origem]],'Perguntas 1 a 24'!$J$28:$K$34,2,FALSE)</f>
        <v>Sudeste</v>
      </c>
      <c r="E107" s="90" t="s">
        <v>11446</v>
      </c>
      <c r="F107" s="91">
        <v>45491</v>
      </c>
      <c r="G107" s="92">
        <v>24330</v>
      </c>
      <c r="H107" s="90" t="s">
        <v>9</v>
      </c>
      <c r="I1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07" s="90" t="s">
        <v>6009</v>
      </c>
    </row>
    <row r="108" spans="1:11">
      <c r="A108" s="90" t="s">
        <v>4612</v>
      </c>
      <c r="B108" s="90" t="s">
        <v>4613</v>
      </c>
      <c r="C108" s="90" t="s">
        <v>16</v>
      </c>
      <c r="D108" s="90" t="str">
        <f>VLOOKUP(Tabela1[[#This Row],[Origem]],'Perguntas 1 a 24'!$J$28:$K$34,2,FALSE)</f>
        <v>Sudeste</v>
      </c>
      <c r="E108" s="90" t="s">
        <v>11447</v>
      </c>
      <c r="F108" s="91">
        <v>45493</v>
      </c>
      <c r="G108" s="92">
        <v>113909</v>
      </c>
      <c r="H108" s="90" t="s">
        <v>7</v>
      </c>
      <c r="I1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08" s="90" t="s">
        <v>4613</v>
      </c>
    </row>
    <row r="109" spans="1:11">
      <c r="A109" s="90" t="s">
        <v>6832</v>
      </c>
      <c r="B109" s="90" t="s">
        <v>6833</v>
      </c>
      <c r="C109" s="90" t="s">
        <v>15</v>
      </c>
      <c r="D109" s="90" t="str">
        <f>VLOOKUP(Tabela1[[#This Row],[Origem]],'Perguntas 1 a 24'!$J$28:$K$34,2,FALSE)</f>
        <v>Sudeste</v>
      </c>
      <c r="E109" s="90" t="s">
        <v>11448</v>
      </c>
      <c r="F109" s="91">
        <v>45493</v>
      </c>
      <c r="G109" s="92">
        <v>87518</v>
      </c>
      <c r="H109" s="90" t="s">
        <v>9</v>
      </c>
      <c r="I1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09" s="90" t="s">
        <v>6833</v>
      </c>
    </row>
    <row r="110" spans="1:11">
      <c r="A110" s="90" t="s">
        <v>8242</v>
      </c>
      <c r="B110" s="90" t="s">
        <v>8243</v>
      </c>
      <c r="C110" s="90" t="s">
        <v>6</v>
      </c>
      <c r="D110" s="90" t="str">
        <f>VLOOKUP(Tabela1[[#This Row],[Origem]],'Perguntas 1 a 24'!$J$28:$K$34,2,FALSE)</f>
        <v>Nordeste</v>
      </c>
      <c r="E110" s="90" t="s">
        <v>11449</v>
      </c>
      <c r="F110" s="91">
        <v>45493</v>
      </c>
      <c r="G110" s="92">
        <v>113583</v>
      </c>
      <c r="H110" s="90" t="s">
        <v>7</v>
      </c>
      <c r="I1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0" s="90" t="s">
        <v>8243</v>
      </c>
    </row>
    <row r="111" spans="1:11">
      <c r="A111" s="90" t="s">
        <v>4530</v>
      </c>
      <c r="B111" s="90" t="s">
        <v>4531</v>
      </c>
      <c r="C111" s="90" t="s">
        <v>13</v>
      </c>
      <c r="D111" s="90" t="str">
        <f>VLOOKUP(Tabela1[[#This Row],[Origem]],'Perguntas 1 a 24'!$J$28:$K$34,2,FALSE)</f>
        <v>Sudeste</v>
      </c>
      <c r="E111" s="90" t="s">
        <v>11450</v>
      </c>
      <c r="F111" s="91">
        <v>45495</v>
      </c>
      <c r="G111" s="92">
        <v>47522</v>
      </c>
      <c r="H111" s="90" t="s">
        <v>14</v>
      </c>
      <c r="I1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11" s="90" t="s">
        <v>4531</v>
      </c>
    </row>
    <row r="112" spans="1:11">
      <c r="A112" s="90" t="s">
        <v>10485</v>
      </c>
      <c r="B112" s="90" t="s">
        <v>10486</v>
      </c>
      <c r="C112" s="90" t="s">
        <v>13</v>
      </c>
      <c r="D112" s="90" t="str">
        <f>VLOOKUP(Tabela1[[#This Row],[Origem]],'Perguntas 1 a 24'!$J$28:$K$34,2,FALSE)</f>
        <v>Sudeste</v>
      </c>
      <c r="E112" s="90" t="s">
        <v>11451</v>
      </c>
      <c r="F112" s="91">
        <v>45495</v>
      </c>
      <c r="G112" s="92">
        <v>101893</v>
      </c>
      <c r="H112" s="90" t="s">
        <v>9</v>
      </c>
      <c r="I1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2" s="90" t="s">
        <v>10486</v>
      </c>
    </row>
    <row r="113" spans="1:11">
      <c r="A113" s="90" t="s">
        <v>4006</v>
      </c>
      <c r="B113" s="90" t="s">
        <v>4007</v>
      </c>
      <c r="C113" s="90" t="s">
        <v>15</v>
      </c>
      <c r="D113" s="90" t="str">
        <f>VLOOKUP(Tabela1[[#This Row],[Origem]],'Perguntas 1 a 24'!$J$28:$K$34,2,FALSE)</f>
        <v>Sudeste</v>
      </c>
      <c r="E113" s="90" t="s">
        <v>11452</v>
      </c>
      <c r="F113" s="91">
        <v>45496</v>
      </c>
      <c r="G113" s="92">
        <v>90043</v>
      </c>
      <c r="H113" s="90" t="s">
        <v>11</v>
      </c>
      <c r="I1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3" s="90" t="s">
        <v>4007</v>
      </c>
    </row>
    <row r="114" spans="1:11">
      <c r="A114" s="90" t="s">
        <v>9021</v>
      </c>
      <c r="B114" s="90" t="s">
        <v>9022</v>
      </c>
      <c r="C114" s="90" t="s">
        <v>10</v>
      </c>
      <c r="D114" s="90" t="str">
        <f>VLOOKUP(Tabela1[[#This Row],[Origem]],'Perguntas 1 a 24'!$J$28:$K$34,2,FALSE)</f>
        <v>Centro-Oeste</v>
      </c>
      <c r="E114" s="90" t="s">
        <v>11453</v>
      </c>
      <c r="F114" s="91">
        <v>45496</v>
      </c>
      <c r="G114" s="92">
        <v>77636</v>
      </c>
      <c r="H114" s="90" t="s">
        <v>9</v>
      </c>
      <c r="I1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4" s="90" t="s">
        <v>9022</v>
      </c>
    </row>
    <row r="115" spans="1:11">
      <c r="A115" s="90" t="s">
        <v>4249</v>
      </c>
      <c r="B115" s="90" t="s">
        <v>4250</v>
      </c>
      <c r="C115" s="90" t="s">
        <v>15</v>
      </c>
      <c r="D115" s="90" t="str">
        <f>VLOOKUP(Tabela1[[#This Row],[Origem]],'Perguntas 1 a 24'!$J$28:$K$34,2,FALSE)</f>
        <v>Sudeste</v>
      </c>
      <c r="E115" s="90" t="s">
        <v>11454</v>
      </c>
      <c r="F115" s="91">
        <v>45497</v>
      </c>
      <c r="G115" s="92">
        <v>107044</v>
      </c>
      <c r="H115" s="90" t="s">
        <v>11</v>
      </c>
      <c r="I1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5" s="90" t="s">
        <v>4250</v>
      </c>
    </row>
    <row r="116" spans="1:11">
      <c r="A116" s="90" t="s">
        <v>10719</v>
      </c>
      <c r="B116" s="90" t="s">
        <v>10720</v>
      </c>
      <c r="C116" s="90" t="s">
        <v>6</v>
      </c>
      <c r="D116" s="90" t="str">
        <f>VLOOKUP(Tabela1[[#This Row],[Origem]],'Perguntas 1 a 24'!$J$28:$K$34,2,FALSE)</f>
        <v>Nordeste</v>
      </c>
      <c r="E116" s="90" t="s">
        <v>11455</v>
      </c>
      <c r="F116" s="91">
        <v>45497</v>
      </c>
      <c r="G116" s="92">
        <v>90042</v>
      </c>
      <c r="H116" s="90" t="s">
        <v>11</v>
      </c>
      <c r="I1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6" s="90" t="s">
        <v>10720</v>
      </c>
    </row>
    <row r="117" spans="1:11">
      <c r="A117" s="90" t="s">
        <v>9769</v>
      </c>
      <c r="B117" s="90" t="s">
        <v>9770</v>
      </c>
      <c r="C117" s="90" t="s">
        <v>15</v>
      </c>
      <c r="D117" s="90" t="str">
        <f>VLOOKUP(Tabela1[[#This Row],[Origem]],'Perguntas 1 a 24'!$J$28:$K$34,2,FALSE)</f>
        <v>Sudeste</v>
      </c>
      <c r="E117" s="90" t="s">
        <v>11456</v>
      </c>
      <c r="F117" s="91">
        <v>45498</v>
      </c>
      <c r="G117" s="92">
        <v>96793</v>
      </c>
      <c r="H117" s="90" t="s">
        <v>14</v>
      </c>
      <c r="I1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7" s="90" t="s">
        <v>9770</v>
      </c>
    </row>
    <row r="118" spans="1:11">
      <c r="A118" s="90" t="s">
        <v>8595</v>
      </c>
      <c r="B118" s="90" t="s">
        <v>8596</v>
      </c>
      <c r="C118" s="90" t="s">
        <v>10</v>
      </c>
      <c r="D118" s="90" t="str">
        <f>VLOOKUP(Tabela1[[#This Row],[Origem]],'Perguntas 1 a 24'!$J$28:$K$34,2,FALSE)</f>
        <v>Centro-Oeste</v>
      </c>
      <c r="E118" s="90" t="s">
        <v>11457</v>
      </c>
      <c r="F118" s="91">
        <v>45499</v>
      </c>
      <c r="G118" s="92">
        <v>65943</v>
      </c>
      <c r="H118" s="90" t="s">
        <v>11</v>
      </c>
      <c r="I1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18" s="90" t="s">
        <v>8596</v>
      </c>
    </row>
    <row r="119" spans="1:11">
      <c r="A119" s="90" t="s">
        <v>7458</v>
      </c>
      <c r="B119" s="90" t="s">
        <v>7459</v>
      </c>
      <c r="C119" s="90" t="s">
        <v>8</v>
      </c>
      <c r="D119" s="90" t="str">
        <f>VLOOKUP(Tabela1[[#This Row],[Origem]],'Perguntas 1 a 24'!$J$28:$K$34,2,FALSE)</f>
        <v>Nordeste</v>
      </c>
      <c r="E119" s="90" t="s">
        <v>11458</v>
      </c>
      <c r="F119" s="91">
        <v>45500</v>
      </c>
      <c r="G119" s="92">
        <v>45773</v>
      </c>
      <c r="H119" s="90" t="s">
        <v>11</v>
      </c>
      <c r="I1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19" s="90" t="s">
        <v>7459</v>
      </c>
    </row>
    <row r="120" spans="1:11">
      <c r="A120" s="90" t="s">
        <v>6682</v>
      </c>
      <c r="B120" s="90" t="s">
        <v>6683</v>
      </c>
      <c r="C120" s="90" t="s">
        <v>15</v>
      </c>
      <c r="D120" s="90" t="str">
        <f>VLOOKUP(Tabela1[[#This Row],[Origem]],'Perguntas 1 a 24'!$J$28:$K$34,2,FALSE)</f>
        <v>Sudeste</v>
      </c>
      <c r="E120" s="90" t="s">
        <v>11459</v>
      </c>
      <c r="F120" s="91">
        <v>45501</v>
      </c>
      <c r="G120" s="92">
        <v>92076</v>
      </c>
      <c r="H120" s="90" t="s">
        <v>7</v>
      </c>
      <c r="I1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20" s="90" t="s">
        <v>6683</v>
      </c>
    </row>
    <row r="121" spans="1:11">
      <c r="A121" s="90" t="s">
        <v>9451</v>
      </c>
      <c r="B121" s="90" t="s">
        <v>9452</v>
      </c>
      <c r="C121" s="90" t="s">
        <v>15</v>
      </c>
      <c r="D121" s="90" t="str">
        <f>VLOOKUP(Tabela1[[#This Row],[Origem]],'Perguntas 1 a 24'!$J$28:$K$34,2,FALSE)</f>
        <v>Sudeste</v>
      </c>
      <c r="E121" s="90" t="s">
        <v>11460</v>
      </c>
      <c r="F121" s="91">
        <v>45501</v>
      </c>
      <c r="G121" s="92">
        <v>108851</v>
      </c>
      <c r="H121" s="90" t="s">
        <v>7</v>
      </c>
      <c r="I1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21" s="90" t="s">
        <v>9452</v>
      </c>
    </row>
    <row r="122" spans="1:11">
      <c r="A122" s="90" t="s">
        <v>8216</v>
      </c>
      <c r="B122" s="90" t="s">
        <v>8217</v>
      </c>
      <c r="C122" s="90" t="s">
        <v>13</v>
      </c>
      <c r="D122" s="90" t="str">
        <f>VLOOKUP(Tabela1[[#This Row],[Origem]],'Perguntas 1 a 24'!$J$28:$K$34,2,FALSE)</f>
        <v>Sudeste</v>
      </c>
      <c r="E122" s="90" t="s">
        <v>11461</v>
      </c>
      <c r="F122" s="91">
        <v>45503</v>
      </c>
      <c r="G122" s="92">
        <v>90490</v>
      </c>
      <c r="H122" s="90" t="s">
        <v>9</v>
      </c>
      <c r="I1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22" s="90" t="s">
        <v>8217</v>
      </c>
    </row>
    <row r="123" spans="1:11">
      <c r="A123" s="90" t="s">
        <v>10417</v>
      </c>
      <c r="B123" s="90" t="s">
        <v>10418</v>
      </c>
      <c r="C123" s="90" t="s">
        <v>8</v>
      </c>
      <c r="D123" s="90" t="str">
        <f>VLOOKUP(Tabela1[[#This Row],[Origem]],'Perguntas 1 a 24'!$J$28:$K$34,2,FALSE)</f>
        <v>Nordeste</v>
      </c>
      <c r="E123" s="90" t="s">
        <v>11462</v>
      </c>
      <c r="F123" s="91">
        <v>45504</v>
      </c>
      <c r="G123" s="92">
        <v>108452</v>
      </c>
      <c r="H123" s="90" t="s">
        <v>14</v>
      </c>
      <c r="I1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23" s="90" t="s">
        <v>10418</v>
      </c>
    </row>
    <row r="124" spans="1:11">
      <c r="A124" s="90" t="s">
        <v>10603</v>
      </c>
      <c r="B124" s="90" t="s">
        <v>10604</v>
      </c>
      <c r="C124" s="90" t="s">
        <v>15</v>
      </c>
      <c r="D124" s="90" t="str">
        <f>VLOOKUP(Tabela1[[#This Row],[Origem]],'Perguntas 1 a 24'!$J$28:$K$34,2,FALSE)</f>
        <v>Sudeste</v>
      </c>
      <c r="E124" s="90" t="s">
        <v>11463</v>
      </c>
      <c r="F124" s="91">
        <v>45504</v>
      </c>
      <c r="G124" s="92">
        <v>106020</v>
      </c>
      <c r="H124" s="90" t="s">
        <v>7</v>
      </c>
      <c r="I1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24" s="90" t="s">
        <v>10604</v>
      </c>
    </row>
    <row r="125" spans="1:11">
      <c r="A125" s="90" t="s">
        <v>9391</v>
      </c>
      <c r="B125" s="90" t="s">
        <v>9392</v>
      </c>
      <c r="C125" s="90" t="s">
        <v>10</v>
      </c>
      <c r="D125" s="90" t="str">
        <f>VLOOKUP(Tabela1[[#This Row],[Origem]],'Perguntas 1 a 24'!$J$28:$K$34,2,FALSE)</f>
        <v>Centro-Oeste</v>
      </c>
      <c r="E125" s="90" t="s">
        <v>11464</v>
      </c>
      <c r="F125" s="91">
        <v>45506</v>
      </c>
      <c r="G125" s="92">
        <v>53466</v>
      </c>
      <c r="H125" s="90" t="s">
        <v>11</v>
      </c>
      <c r="I1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25" s="90" t="s">
        <v>9392</v>
      </c>
    </row>
    <row r="126" spans="1:11">
      <c r="A126" s="90" t="s">
        <v>5072</v>
      </c>
      <c r="B126" s="90" t="s">
        <v>5073</v>
      </c>
      <c r="C126" s="90" t="s">
        <v>13</v>
      </c>
      <c r="D126" s="90" t="str">
        <f>VLOOKUP(Tabela1[[#This Row],[Origem]],'Perguntas 1 a 24'!$J$28:$K$34,2,FALSE)</f>
        <v>Sudeste</v>
      </c>
      <c r="E126" s="90" t="s">
        <v>11465</v>
      </c>
      <c r="F126" s="91">
        <v>45508</v>
      </c>
      <c r="G126" s="92">
        <v>30925</v>
      </c>
      <c r="H126" s="90" t="s">
        <v>14</v>
      </c>
      <c r="I1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26" s="90" t="s">
        <v>5073</v>
      </c>
    </row>
    <row r="127" spans="1:11">
      <c r="A127" s="90" t="s">
        <v>6612</v>
      </c>
      <c r="B127" s="90" t="s">
        <v>6613</v>
      </c>
      <c r="C127" s="90" t="s">
        <v>13</v>
      </c>
      <c r="D127" s="90" t="str">
        <f>VLOOKUP(Tabela1[[#This Row],[Origem]],'Perguntas 1 a 24'!$J$28:$K$34,2,FALSE)</f>
        <v>Sudeste</v>
      </c>
      <c r="E127" s="90" t="s">
        <v>11466</v>
      </c>
      <c r="F127" s="91">
        <v>45509</v>
      </c>
      <c r="G127" s="92">
        <v>47779</v>
      </c>
      <c r="H127" s="90" t="s">
        <v>14</v>
      </c>
      <c r="I1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27" s="90" t="s">
        <v>6613</v>
      </c>
    </row>
    <row r="128" spans="1:11">
      <c r="A128" s="90" t="s">
        <v>8012</v>
      </c>
      <c r="B128" s="90" t="s">
        <v>8013</v>
      </c>
      <c r="C128" s="90" t="s">
        <v>6</v>
      </c>
      <c r="D128" s="90" t="str">
        <f>VLOOKUP(Tabela1[[#This Row],[Origem]],'Perguntas 1 a 24'!$J$28:$K$34,2,FALSE)</f>
        <v>Nordeste</v>
      </c>
      <c r="E128" s="90" t="s">
        <v>11467</v>
      </c>
      <c r="F128" s="91">
        <v>45509</v>
      </c>
      <c r="G128" s="92">
        <v>57707</v>
      </c>
      <c r="H128" s="90" t="s">
        <v>7</v>
      </c>
      <c r="I1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28" s="90" t="s">
        <v>8013</v>
      </c>
    </row>
    <row r="129" spans="1:11">
      <c r="A129" s="90" t="s">
        <v>8961</v>
      </c>
      <c r="B129" s="90" t="s">
        <v>8962</v>
      </c>
      <c r="C129" s="90" t="s">
        <v>10</v>
      </c>
      <c r="D129" s="90" t="str">
        <f>VLOOKUP(Tabela1[[#This Row],[Origem]],'Perguntas 1 a 24'!$J$28:$K$34,2,FALSE)</f>
        <v>Centro-Oeste</v>
      </c>
      <c r="E129" s="90" t="s">
        <v>11468</v>
      </c>
      <c r="F129" s="91">
        <v>45509</v>
      </c>
      <c r="G129" s="92">
        <v>30437</v>
      </c>
      <c r="H129" s="90" t="s">
        <v>7</v>
      </c>
      <c r="I1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29" s="90" t="s">
        <v>8962</v>
      </c>
    </row>
    <row r="130" spans="1:11">
      <c r="A130" s="90" t="s">
        <v>3956</v>
      </c>
      <c r="B130" s="90" t="s">
        <v>3957</v>
      </c>
      <c r="C130" s="90" t="s">
        <v>6</v>
      </c>
      <c r="D130" s="90" t="str">
        <f>VLOOKUP(Tabela1[[#This Row],[Origem]],'Perguntas 1 a 24'!$J$28:$K$34,2,FALSE)</f>
        <v>Nordeste</v>
      </c>
      <c r="E130" s="90" t="s">
        <v>11469</v>
      </c>
      <c r="F130" s="91">
        <v>45511</v>
      </c>
      <c r="G130" s="92">
        <v>98401</v>
      </c>
      <c r="H130" s="90" t="s">
        <v>11</v>
      </c>
      <c r="I1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30" s="90" t="s">
        <v>3957</v>
      </c>
    </row>
    <row r="131" spans="1:11">
      <c r="A131" s="90" t="s">
        <v>5376</v>
      </c>
      <c r="B131" s="90" t="s">
        <v>5377</v>
      </c>
      <c r="C131" s="90" t="s">
        <v>10</v>
      </c>
      <c r="D131" s="90" t="str">
        <f>VLOOKUP(Tabela1[[#This Row],[Origem]],'Perguntas 1 a 24'!$J$28:$K$34,2,FALSE)</f>
        <v>Centro-Oeste</v>
      </c>
      <c r="E131" s="90" t="s">
        <v>11470</v>
      </c>
      <c r="F131" s="91">
        <v>45511</v>
      </c>
      <c r="G131" s="92">
        <v>32349</v>
      </c>
      <c r="H131" s="90" t="s">
        <v>7</v>
      </c>
      <c r="I1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31" s="90" t="s">
        <v>5377</v>
      </c>
    </row>
    <row r="132" spans="1:11">
      <c r="A132" s="90" t="s">
        <v>6646</v>
      </c>
      <c r="B132" s="90" t="s">
        <v>6647</v>
      </c>
      <c r="C132" s="90" t="s">
        <v>16</v>
      </c>
      <c r="D132" s="90" t="str">
        <f>VLOOKUP(Tabela1[[#This Row],[Origem]],'Perguntas 1 a 24'!$J$28:$K$34,2,FALSE)</f>
        <v>Sudeste</v>
      </c>
      <c r="E132" s="90" t="s">
        <v>11471</v>
      </c>
      <c r="F132" s="91">
        <v>45511</v>
      </c>
      <c r="G132" s="92">
        <v>107335</v>
      </c>
      <c r="H132" s="90" t="s">
        <v>11</v>
      </c>
      <c r="I1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32" s="90" t="s">
        <v>6647</v>
      </c>
    </row>
    <row r="133" spans="1:11">
      <c r="A133" s="90" t="s">
        <v>7096</v>
      </c>
      <c r="B133" s="90" t="s">
        <v>7097</v>
      </c>
      <c r="C133" s="90" t="s">
        <v>6</v>
      </c>
      <c r="D133" s="90" t="str">
        <f>VLOOKUP(Tabela1[[#This Row],[Origem]],'Perguntas 1 a 24'!$J$28:$K$34,2,FALSE)</f>
        <v>Nordeste</v>
      </c>
      <c r="E133" s="90" t="s">
        <v>11472</v>
      </c>
      <c r="F133" s="91">
        <v>45511</v>
      </c>
      <c r="G133" s="92">
        <v>42726</v>
      </c>
      <c r="H133" s="90" t="s">
        <v>9</v>
      </c>
      <c r="I1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33" s="90" t="s">
        <v>7097</v>
      </c>
    </row>
    <row r="134" spans="1:11">
      <c r="A134" s="90" t="s">
        <v>4058</v>
      </c>
      <c r="B134" s="90" t="s">
        <v>4059</v>
      </c>
      <c r="C134" s="90" t="s">
        <v>13</v>
      </c>
      <c r="D134" s="90" t="str">
        <f>VLOOKUP(Tabela1[[#This Row],[Origem]],'Perguntas 1 a 24'!$J$28:$K$34,2,FALSE)</f>
        <v>Sudeste</v>
      </c>
      <c r="E134" s="90" t="s">
        <v>11473</v>
      </c>
      <c r="F134" s="91">
        <v>45512</v>
      </c>
      <c r="G134" s="92">
        <v>70576</v>
      </c>
      <c r="H134" s="90" t="s">
        <v>14</v>
      </c>
      <c r="I1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34" s="90" t="s">
        <v>4059</v>
      </c>
    </row>
    <row r="135" spans="1:11">
      <c r="A135" s="90" t="s">
        <v>10041</v>
      </c>
      <c r="B135" s="90" t="s">
        <v>10042</v>
      </c>
      <c r="C135" s="90" t="s">
        <v>6</v>
      </c>
      <c r="D135" s="90" t="str">
        <f>VLOOKUP(Tabela1[[#This Row],[Origem]],'Perguntas 1 a 24'!$J$28:$K$34,2,FALSE)</f>
        <v>Nordeste</v>
      </c>
      <c r="E135" s="90" t="s">
        <v>11474</v>
      </c>
      <c r="F135" s="91">
        <v>45513</v>
      </c>
      <c r="G135" s="92">
        <v>55069</v>
      </c>
      <c r="H135" s="90" t="s">
        <v>14</v>
      </c>
      <c r="I1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35" s="90" t="s">
        <v>10042</v>
      </c>
    </row>
    <row r="136" spans="1:11">
      <c r="A136" s="90" t="s">
        <v>6424</v>
      </c>
      <c r="B136" s="90" t="s">
        <v>6425</v>
      </c>
      <c r="C136" s="90" t="s">
        <v>16</v>
      </c>
      <c r="D136" s="90" t="str">
        <f>VLOOKUP(Tabela1[[#This Row],[Origem]],'Perguntas 1 a 24'!$J$28:$K$34,2,FALSE)</f>
        <v>Sudeste</v>
      </c>
      <c r="E136" s="90" t="s">
        <v>11475</v>
      </c>
      <c r="F136" s="91">
        <v>45514</v>
      </c>
      <c r="G136" s="92">
        <v>79353</v>
      </c>
      <c r="H136" s="90" t="s">
        <v>11</v>
      </c>
      <c r="I1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36" s="90" t="s">
        <v>6425</v>
      </c>
    </row>
    <row r="137" spans="1:11">
      <c r="A137" s="90" t="s">
        <v>8136</v>
      </c>
      <c r="B137" s="90" t="s">
        <v>8137</v>
      </c>
      <c r="C137" s="90" t="s">
        <v>10</v>
      </c>
      <c r="D137" s="90" t="str">
        <f>VLOOKUP(Tabela1[[#This Row],[Origem]],'Perguntas 1 a 24'!$J$28:$K$34,2,FALSE)</f>
        <v>Centro-Oeste</v>
      </c>
      <c r="E137" s="90" t="s">
        <v>11476</v>
      </c>
      <c r="F137" s="91">
        <v>45514</v>
      </c>
      <c r="G137" s="92">
        <v>25236</v>
      </c>
      <c r="H137" s="90" t="s">
        <v>11</v>
      </c>
      <c r="I1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37" s="90" t="s">
        <v>8137</v>
      </c>
    </row>
    <row r="138" spans="1:11">
      <c r="A138" s="90" t="s">
        <v>6250</v>
      </c>
      <c r="B138" s="90" t="s">
        <v>6251</v>
      </c>
      <c r="C138" s="90" t="s">
        <v>6</v>
      </c>
      <c r="D138" s="90" t="str">
        <f>VLOOKUP(Tabela1[[#This Row],[Origem]],'Perguntas 1 a 24'!$J$28:$K$34,2,FALSE)</f>
        <v>Nordeste</v>
      </c>
      <c r="E138" s="90" t="s">
        <v>11477</v>
      </c>
      <c r="F138" s="91">
        <v>45516</v>
      </c>
      <c r="G138" s="92">
        <v>47981</v>
      </c>
      <c r="H138" s="90" t="s">
        <v>14</v>
      </c>
      <c r="I1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38" s="90" t="s">
        <v>6251</v>
      </c>
    </row>
    <row r="139" spans="1:11">
      <c r="A139" s="90" t="s">
        <v>8450</v>
      </c>
      <c r="B139" s="90" t="s">
        <v>8451</v>
      </c>
      <c r="C139" s="90" t="s">
        <v>12</v>
      </c>
      <c r="D139" s="90" t="str">
        <f>VLOOKUP(Tabela1[[#This Row],[Origem]],'Perguntas 1 a 24'!$J$28:$K$34,2,FALSE)</f>
        <v>Sudeste</v>
      </c>
      <c r="E139" s="90" t="s">
        <v>11478</v>
      </c>
      <c r="F139" s="91">
        <v>45518</v>
      </c>
      <c r="G139" s="92">
        <v>114966</v>
      </c>
      <c r="H139" s="90" t="s">
        <v>7</v>
      </c>
      <c r="I1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39" s="90" t="s">
        <v>8451</v>
      </c>
    </row>
    <row r="140" spans="1:11">
      <c r="A140" s="90" t="s">
        <v>8188</v>
      </c>
      <c r="B140" s="90" t="s">
        <v>8189</v>
      </c>
      <c r="C140" s="90" t="s">
        <v>15</v>
      </c>
      <c r="D140" s="90" t="str">
        <f>VLOOKUP(Tabela1[[#This Row],[Origem]],'Perguntas 1 a 24'!$J$28:$K$34,2,FALSE)</f>
        <v>Sudeste</v>
      </c>
      <c r="E140" s="90" t="s">
        <v>11479</v>
      </c>
      <c r="F140" s="91">
        <v>45519</v>
      </c>
      <c r="G140" s="92">
        <v>84958</v>
      </c>
      <c r="H140" s="90" t="s">
        <v>14</v>
      </c>
      <c r="I1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40" s="90" t="s">
        <v>8189</v>
      </c>
    </row>
    <row r="141" spans="1:11">
      <c r="A141" s="90" t="s">
        <v>9257</v>
      </c>
      <c r="B141" s="90" t="s">
        <v>9258</v>
      </c>
      <c r="C141" s="90" t="s">
        <v>8</v>
      </c>
      <c r="D141" s="90" t="str">
        <f>VLOOKUP(Tabela1[[#This Row],[Origem]],'Perguntas 1 a 24'!$J$28:$K$34,2,FALSE)</f>
        <v>Nordeste</v>
      </c>
      <c r="E141" s="90" t="s">
        <v>11480</v>
      </c>
      <c r="F141" s="91">
        <v>45519</v>
      </c>
      <c r="G141" s="92">
        <v>112717</v>
      </c>
      <c r="H141" s="90" t="s">
        <v>9</v>
      </c>
      <c r="I1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41" s="90" t="s">
        <v>9258</v>
      </c>
    </row>
    <row r="142" spans="1:11">
      <c r="A142" s="90" t="s">
        <v>9843</v>
      </c>
      <c r="B142" s="90" t="s">
        <v>9844</v>
      </c>
      <c r="C142" s="90" t="s">
        <v>10</v>
      </c>
      <c r="D142" s="90" t="str">
        <f>VLOOKUP(Tabela1[[#This Row],[Origem]],'Perguntas 1 a 24'!$J$28:$K$34,2,FALSE)</f>
        <v>Centro-Oeste</v>
      </c>
      <c r="E142" s="90" t="s">
        <v>11481</v>
      </c>
      <c r="F142" s="91">
        <v>45519</v>
      </c>
      <c r="G142" s="92">
        <v>45648</v>
      </c>
      <c r="H142" s="90" t="s">
        <v>11</v>
      </c>
      <c r="I1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42" s="90" t="s">
        <v>9844</v>
      </c>
    </row>
    <row r="143" spans="1:11">
      <c r="A143" s="90" t="s">
        <v>10481</v>
      </c>
      <c r="B143" s="90" t="s">
        <v>10482</v>
      </c>
      <c r="C143" s="90" t="s">
        <v>13</v>
      </c>
      <c r="D143" s="90" t="str">
        <f>VLOOKUP(Tabela1[[#This Row],[Origem]],'Perguntas 1 a 24'!$J$28:$K$34,2,FALSE)</f>
        <v>Sudeste</v>
      </c>
      <c r="E143" s="90" t="s">
        <v>11482</v>
      </c>
      <c r="F143" s="91">
        <v>45519</v>
      </c>
      <c r="G143" s="92">
        <v>68175</v>
      </c>
      <c r="H143" s="90" t="s">
        <v>14</v>
      </c>
      <c r="I1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43" s="90" t="s">
        <v>10482</v>
      </c>
    </row>
    <row r="144" spans="1:11">
      <c r="A144" s="90" t="s">
        <v>5526</v>
      </c>
      <c r="B144" s="90" t="s">
        <v>5527</v>
      </c>
      <c r="C144" s="90" t="s">
        <v>12</v>
      </c>
      <c r="D144" s="90" t="str">
        <f>VLOOKUP(Tabela1[[#This Row],[Origem]],'Perguntas 1 a 24'!$J$28:$K$34,2,FALSE)</f>
        <v>Sudeste</v>
      </c>
      <c r="E144" s="90" t="s">
        <v>11483</v>
      </c>
      <c r="F144" s="91">
        <v>45520</v>
      </c>
      <c r="G144" s="92">
        <v>33639</v>
      </c>
      <c r="H144" s="90" t="s">
        <v>11</v>
      </c>
      <c r="I1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44" s="90" t="s">
        <v>5527</v>
      </c>
    </row>
    <row r="145" spans="1:11">
      <c r="A145" s="90" t="s">
        <v>7106</v>
      </c>
      <c r="B145" s="90" t="s">
        <v>7107</v>
      </c>
      <c r="C145" s="90" t="s">
        <v>12</v>
      </c>
      <c r="D145" s="90" t="str">
        <f>VLOOKUP(Tabela1[[#This Row],[Origem]],'Perguntas 1 a 24'!$J$28:$K$34,2,FALSE)</f>
        <v>Sudeste</v>
      </c>
      <c r="E145" s="90" t="s">
        <v>11484</v>
      </c>
      <c r="F145" s="91">
        <v>45520</v>
      </c>
      <c r="G145" s="92">
        <v>97992</v>
      </c>
      <c r="H145" s="90" t="s">
        <v>14</v>
      </c>
      <c r="I1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45" s="90" t="s">
        <v>7107</v>
      </c>
    </row>
    <row r="146" spans="1:11">
      <c r="A146" s="90" t="s">
        <v>8266</v>
      </c>
      <c r="B146" s="90" t="s">
        <v>8267</v>
      </c>
      <c r="C146" s="90" t="s">
        <v>12</v>
      </c>
      <c r="D146" s="90" t="str">
        <f>VLOOKUP(Tabela1[[#This Row],[Origem]],'Perguntas 1 a 24'!$J$28:$K$34,2,FALSE)</f>
        <v>Sudeste</v>
      </c>
      <c r="E146" s="90" t="s">
        <v>11485</v>
      </c>
      <c r="F146" s="91">
        <v>45523</v>
      </c>
      <c r="G146" s="92">
        <v>61333</v>
      </c>
      <c r="H146" s="90" t="s">
        <v>11</v>
      </c>
      <c r="I1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46" s="90" t="s">
        <v>8267</v>
      </c>
    </row>
    <row r="147" spans="1:11">
      <c r="A147" s="90" t="s">
        <v>7556</v>
      </c>
      <c r="B147" s="90" t="s">
        <v>7557</v>
      </c>
      <c r="C147" s="90" t="s">
        <v>8</v>
      </c>
      <c r="D147" s="90" t="str">
        <f>VLOOKUP(Tabela1[[#This Row],[Origem]],'Perguntas 1 a 24'!$J$28:$K$34,2,FALSE)</f>
        <v>Nordeste</v>
      </c>
      <c r="E147" s="90" t="s">
        <v>11486</v>
      </c>
      <c r="F147" s="91">
        <v>45524</v>
      </c>
      <c r="G147" s="92">
        <v>43297</v>
      </c>
      <c r="H147" s="90" t="s">
        <v>9</v>
      </c>
      <c r="I1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47" s="90" t="s">
        <v>7557</v>
      </c>
    </row>
    <row r="148" spans="1:11">
      <c r="A148" s="90" t="s">
        <v>6392</v>
      </c>
      <c r="B148" s="90" t="s">
        <v>6393</v>
      </c>
      <c r="C148" s="90" t="s">
        <v>12</v>
      </c>
      <c r="D148" s="90" t="str">
        <f>VLOOKUP(Tabela1[[#This Row],[Origem]],'Perguntas 1 a 24'!$J$28:$K$34,2,FALSE)</f>
        <v>Sudeste</v>
      </c>
      <c r="E148" s="90" t="s">
        <v>11487</v>
      </c>
      <c r="F148" s="91">
        <v>45525</v>
      </c>
      <c r="G148" s="92">
        <v>54382</v>
      </c>
      <c r="H148" s="90" t="s">
        <v>7</v>
      </c>
      <c r="I1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48" s="90" t="s">
        <v>6393</v>
      </c>
    </row>
    <row r="149" spans="1:11">
      <c r="A149" s="90" t="s">
        <v>7660</v>
      </c>
      <c r="B149" s="90" t="s">
        <v>7661</v>
      </c>
      <c r="C149" s="90" t="s">
        <v>10</v>
      </c>
      <c r="D149" s="90" t="str">
        <f>VLOOKUP(Tabela1[[#This Row],[Origem]],'Perguntas 1 a 24'!$J$28:$K$34,2,FALSE)</f>
        <v>Centro-Oeste</v>
      </c>
      <c r="E149" s="90" t="s">
        <v>11488</v>
      </c>
      <c r="F149" s="91">
        <v>45525</v>
      </c>
      <c r="G149" s="92">
        <v>118504</v>
      </c>
      <c r="H149" s="90" t="s">
        <v>14</v>
      </c>
      <c r="I1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49" s="90" t="s">
        <v>7661</v>
      </c>
    </row>
    <row r="150" spans="1:11">
      <c r="A150" s="90" t="s">
        <v>8240</v>
      </c>
      <c r="B150" s="90" t="s">
        <v>8241</v>
      </c>
      <c r="C150" s="90" t="s">
        <v>15</v>
      </c>
      <c r="D150" s="90" t="str">
        <f>VLOOKUP(Tabela1[[#This Row],[Origem]],'Perguntas 1 a 24'!$J$28:$K$34,2,FALSE)</f>
        <v>Sudeste</v>
      </c>
      <c r="E150" s="90" t="s">
        <v>11489</v>
      </c>
      <c r="F150" s="91">
        <v>45525</v>
      </c>
      <c r="G150" s="92">
        <v>114924</v>
      </c>
      <c r="H150" s="90" t="s">
        <v>14</v>
      </c>
      <c r="I1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0" s="90" t="s">
        <v>8241</v>
      </c>
    </row>
    <row r="151" spans="1:11">
      <c r="A151" s="90" t="s">
        <v>11253</v>
      </c>
      <c r="B151" s="90" t="s">
        <v>11254</v>
      </c>
      <c r="C151" s="90" t="s">
        <v>15</v>
      </c>
      <c r="D151" s="90" t="str">
        <f>VLOOKUP(Tabela1[[#This Row],[Origem]],'Perguntas 1 a 24'!$J$28:$K$34,2,FALSE)</f>
        <v>Sudeste</v>
      </c>
      <c r="E151" s="90" t="s">
        <v>11490</v>
      </c>
      <c r="F151" s="91">
        <v>45527</v>
      </c>
      <c r="G151" s="92">
        <v>52601</v>
      </c>
      <c r="H151" s="90" t="s">
        <v>11</v>
      </c>
      <c r="I1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1" s="90" t="s">
        <v>11254</v>
      </c>
    </row>
    <row r="152" spans="1:11">
      <c r="A152" s="90" t="s">
        <v>6876</v>
      </c>
      <c r="B152" s="90" t="s">
        <v>6877</v>
      </c>
      <c r="C152" s="90" t="s">
        <v>12</v>
      </c>
      <c r="D152" s="90" t="str">
        <f>VLOOKUP(Tabela1[[#This Row],[Origem]],'Perguntas 1 a 24'!$J$28:$K$34,2,FALSE)</f>
        <v>Sudeste</v>
      </c>
      <c r="E152" s="90" t="s">
        <v>11491</v>
      </c>
      <c r="F152" s="91">
        <v>45528</v>
      </c>
      <c r="G152" s="92">
        <v>107212</v>
      </c>
      <c r="H152" s="90" t="s">
        <v>7</v>
      </c>
      <c r="I1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2" s="90" t="s">
        <v>6877</v>
      </c>
    </row>
    <row r="153" spans="1:11">
      <c r="A153" s="90" t="s">
        <v>4034</v>
      </c>
      <c r="B153" s="90" t="s">
        <v>4035</v>
      </c>
      <c r="C153" s="90" t="s">
        <v>13</v>
      </c>
      <c r="D153" s="90" t="str">
        <f>VLOOKUP(Tabela1[[#This Row],[Origem]],'Perguntas 1 a 24'!$J$28:$K$34,2,FALSE)</f>
        <v>Sudeste</v>
      </c>
      <c r="E153" s="90" t="s">
        <v>11492</v>
      </c>
      <c r="F153" s="91">
        <v>45529</v>
      </c>
      <c r="G153" s="92">
        <v>50596</v>
      </c>
      <c r="H153" s="90" t="s">
        <v>14</v>
      </c>
      <c r="I1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3" s="90" t="s">
        <v>4035</v>
      </c>
    </row>
    <row r="154" spans="1:11">
      <c r="A154" s="90" t="s">
        <v>10185</v>
      </c>
      <c r="B154" s="90" t="s">
        <v>10186</v>
      </c>
      <c r="C154" s="90" t="s">
        <v>13</v>
      </c>
      <c r="D154" s="90" t="str">
        <f>VLOOKUP(Tabela1[[#This Row],[Origem]],'Perguntas 1 a 24'!$J$28:$K$34,2,FALSE)</f>
        <v>Sudeste</v>
      </c>
      <c r="E154" s="90" t="s">
        <v>11493</v>
      </c>
      <c r="F154" s="91">
        <v>45531</v>
      </c>
      <c r="G154" s="92">
        <v>32541</v>
      </c>
      <c r="H154" s="90" t="s">
        <v>11</v>
      </c>
      <c r="I1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54" s="90" t="s">
        <v>10186</v>
      </c>
    </row>
    <row r="155" spans="1:11">
      <c r="A155" s="90" t="s">
        <v>4379</v>
      </c>
      <c r="B155" s="90" t="s">
        <v>4380</v>
      </c>
      <c r="C155" s="90" t="s">
        <v>6</v>
      </c>
      <c r="D155" s="90" t="str">
        <f>VLOOKUP(Tabela1[[#This Row],[Origem]],'Perguntas 1 a 24'!$J$28:$K$34,2,FALSE)</f>
        <v>Nordeste</v>
      </c>
      <c r="E155" s="90" t="s">
        <v>11494</v>
      </c>
      <c r="F155" s="91">
        <v>45533</v>
      </c>
      <c r="G155" s="92">
        <v>22418</v>
      </c>
      <c r="H155" s="90" t="s">
        <v>11</v>
      </c>
      <c r="I1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55" s="90" t="s">
        <v>4380</v>
      </c>
    </row>
    <row r="156" spans="1:11">
      <c r="A156" s="90" t="s">
        <v>5666</v>
      </c>
      <c r="B156" s="90" t="s">
        <v>5667</v>
      </c>
      <c r="C156" s="90" t="s">
        <v>6</v>
      </c>
      <c r="D156" s="90" t="str">
        <f>VLOOKUP(Tabela1[[#This Row],[Origem]],'Perguntas 1 a 24'!$J$28:$K$34,2,FALSE)</f>
        <v>Nordeste</v>
      </c>
      <c r="E156" s="90" t="s">
        <v>11495</v>
      </c>
      <c r="F156" s="91">
        <v>45533</v>
      </c>
      <c r="G156" s="92">
        <v>84399</v>
      </c>
      <c r="H156" s="90" t="s">
        <v>9</v>
      </c>
      <c r="I1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6" s="90" t="s">
        <v>5667</v>
      </c>
    </row>
    <row r="157" spans="1:11">
      <c r="A157" s="90" t="s">
        <v>6486</v>
      </c>
      <c r="B157" s="90" t="s">
        <v>6487</v>
      </c>
      <c r="C157" s="90" t="s">
        <v>12</v>
      </c>
      <c r="D157" s="90" t="str">
        <f>VLOOKUP(Tabela1[[#This Row],[Origem]],'Perguntas 1 a 24'!$J$28:$K$34,2,FALSE)</f>
        <v>Sudeste</v>
      </c>
      <c r="E157" s="90" t="s">
        <v>11496</v>
      </c>
      <c r="F157" s="91">
        <v>45533</v>
      </c>
      <c r="G157" s="92">
        <v>59649</v>
      </c>
      <c r="H157" s="90" t="s">
        <v>9</v>
      </c>
      <c r="I1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7" s="90" t="s">
        <v>6487</v>
      </c>
    </row>
    <row r="158" spans="1:11">
      <c r="A158" s="90" t="s">
        <v>9869</v>
      </c>
      <c r="B158" s="90" t="s">
        <v>9870</v>
      </c>
      <c r="C158" s="90" t="s">
        <v>6</v>
      </c>
      <c r="D158" s="90" t="str">
        <f>VLOOKUP(Tabela1[[#This Row],[Origem]],'Perguntas 1 a 24'!$J$28:$K$34,2,FALSE)</f>
        <v>Nordeste</v>
      </c>
      <c r="E158" s="90" t="s">
        <v>11497</v>
      </c>
      <c r="F158" s="91">
        <v>45533</v>
      </c>
      <c r="G158" s="92">
        <v>114079</v>
      </c>
      <c r="H158" s="90" t="s">
        <v>9</v>
      </c>
      <c r="I1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8" s="90" t="s">
        <v>9870</v>
      </c>
    </row>
    <row r="159" spans="1:11">
      <c r="A159" s="90" t="s">
        <v>7598</v>
      </c>
      <c r="B159" s="90" t="s">
        <v>7599</v>
      </c>
      <c r="C159" s="90" t="s">
        <v>6</v>
      </c>
      <c r="D159" s="90" t="str">
        <f>VLOOKUP(Tabela1[[#This Row],[Origem]],'Perguntas 1 a 24'!$J$28:$K$34,2,FALSE)</f>
        <v>Nordeste</v>
      </c>
      <c r="E159" s="90" t="s">
        <v>11498</v>
      </c>
      <c r="F159" s="91">
        <v>45536</v>
      </c>
      <c r="G159" s="92">
        <v>66087</v>
      </c>
      <c r="H159" s="90" t="s">
        <v>9</v>
      </c>
      <c r="I1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59" s="90" t="s">
        <v>7599</v>
      </c>
    </row>
    <row r="160" spans="1:11">
      <c r="A160" s="90" t="s">
        <v>9765</v>
      </c>
      <c r="B160" s="90" t="s">
        <v>9766</v>
      </c>
      <c r="C160" s="90" t="s">
        <v>15</v>
      </c>
      <c r="D160" s="90" t="str">
        <f>VLOOKUP(Tabela1[[#This Row],[Origem]],'Perguntas 1 a 24'!$J$28:$K$34,2,FALSE)</f>
        <v>Sudeste</v>
      </c>
      <c r="E160" s="90" t="s">
        <v>11499</v>
      </c>
      <c r="F160" s="91">
        <v>45536</v>
      </c>
      <c r="G160" s="92">
        <v>96126</v>
      </c>
      <c r="H160" s="90" t="s">
        <v>7</v>
      </c>
      <c r="I1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60" s="90" t="s">
        <v>9766</v>
      </c>
    </row>
    <row r="161" spans="1:11">
      <c r="A161" s="90" t="s">
        <v>4000</v>
      </c>
      <c r="B161" s="90" t="s">
        <v>4001</v>
      </c>
      <c r="C161" s="90" t="s">
        <v>6</v>
      </c>
      <c r="D161" s="90" t="str">
        <f>VLOOKUP(Tabela1[[#This Row],[Origem]],'Perguntas 1 a 24'!$J$28:$K$34,2,FALSE)</f>
        <v>Nordeste</v>
      </c>
      <c r="E161" s="90" t="s">
        <v>11500</v>
      </c>
      <c r="F161" s="91">
        <v>45537</v>
      </c>
      <c r="G161" s="92">
        <v>33764</v>
      </c>
      <c r="H161" s="90" t="s">
        <v>11</v>
      </c>
      <c r="I1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61" s="90" t="s">
        <v>4001</v>
      </c>
    </row>
    <row r="162" spans="1:11">
      <c r="A162" s="90" t="s">
        <v>7054</v>
      </c>
      <c r="B162" s="90" t="s">
        <v>7055</v>
      </c>
      <c r="C162" s="90" t="s">
        <v>6</v>
      </c>
      <c r="D162" s="90" t="str">
        <f>VLOOKUP(Tabela1[[#This Row],[Origem]],'Perguntas 1 a 24'!$J$28:$K$34,2,FALSE)</f>
        <v>Nordeste</v>
      </c>
      <c r="E162" s="90" t="s">
        <v>11501</v>
      </c>
      <c r="F162" s="91">
        <v>45537</v>
      </c>
      <c r="G162" s="92">
        <v>110375</v>
      </c>
      <c r="H162" s="90" t="s">
        <v>9</v>
      </c>
      <c r="I1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62" s="90" t="s">
        <v>7055</v>
      </c>
    </row>
    <row r="163" spans="1:11">
      <c r="A163" s="90" t="s">
        <v>10331</v>
      </c>
      <c r="B163" s="90" t="s">
        <v>10332</v>
      </c>
      <c r="C163" s="90" t="s">
        <v>8</v>
      </c>
      <c r="D163" s="90" t="str">
        <f>VLOOKUP(Tabela1[[#This Row],[Origem]],'Perguntas 1 a 24'!$J$28:$K$34,2,FALSE)</f>
        <v>Nordeste</v>
      </c>
      <c r="E163" s="90" t="s">
        <v>11502</v>
      </c>
      <c r="F163" s="91">
        <v>45537</v>
      </c>
      <c r="G163" s="92">
        <v>95199</v>
      </c>
      <c r="H163" s="90" t="s">
        <v>9</v>
      </c>
      <c r="I1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63" s="90" t="s">
        <v>10332</v>
      </c>
    </row>
    <row r="164" spans="1:11">
      <c r="A164" s="90" t="s">
        <v>3874</v>
      </c>
      <c r="B164" s="90" t="s">
        <v>3875</v>
      </c>
      <c r="C164" s="90" t="s">
        <v>8</v>
      </c>
      <c r="D164" s="90" t="str">
        <f>VLOOKUP(Tabela1[[#This Row],[Origem]],'Perguntas 1 a 24'!$J$28:$K$34,2,FALSE)</f>
        <v>Nordeste</v>
      </c>
      <c r="E164" s="90" t="s">
        <v>11503</v>
      </c>
      <c r="F164" s="91">
        <v>45538</v>
      </c>
      <c r="G164" s="92">
        <v>98907</v>
      </c>
      <c r="H164" s="90" t="s">
        <v>14</v>
      </c>
      <c r="I1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64" s="90" t="s">
        <v>3875</v>
      </c>
    </row>
    <row r="165" spans="1:11">
      <c r="A165" s="90" t="s">
        <v>5934</v>
      </c>
      <c r="B165" s="90" t="s">
        <v>5935</v>
      </c>
      <c r="C165" s="90" t="s">
        <v>13</v>
      </c>
      <c r="D165" s="90" t="str">
        <f>VLOOKUP(Tabela1[[#This Row],[Origem]],'Perguntas 1 a 24'!$J$28:$K$34,2,FALSE)</f>
        <v>Sudeste</v>
      </c>
      <c r="E165" s="90" t="s">
        <v>11504</v>
      </c>
      <c r="F165" s="91">
        <v>45539</v>
      </c>
      <c r="G165" s="92">
        <v>52762</v>
      </c>
      <c r="H165" s="90" t="s">
        <v>11</v>
      </c>
      <c r="I1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65" s="90" t="s">
        <v>5935</v>
      </c>
    </row>
    <row r="166" spans="1:11">
      <c r="A166" s="90" t="s">
        <v>7426</v>
      </c>
      <c r="B166" s="90" t="s">
        <v>7427</v>
      </c>
      <c r="C166" s="90" t="s">
        <v>8</v>
      </c>
      <c r="D166" s="90" t="str">
        <f>VLOOKUP(Tabela1[[#This Row],[Origem]],'Perguntas 1 a 24'!$J$28:$K$34,2,FALSE)</f>
        <v>Nordeste</v>
      </c>
      <c r="E166" s="90" t="s">
        <v>11505</v>
      </c>
      <c r="F166" s="91">
        <v>45539</v>
      </c>
      <c r="G166" s="92">
        <v>37397</v>
      </c>
      <c r="H166" s="90" t="s">
        <v>7</v>
      </c>
      <c r="I1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66" s="90" t="s">
        <v>7427</v>
      </c>
    </row>
    <row r="167" spans="1:11">
      <c r="A167" s="90" t="s">
        <v>9089</v>
      </c>
      <c r="B167" s="90" t="s">
        <v>9090</v>
      </c>
      <c r="C167" s="90" t="s">
        <v>10</v>
      </c>
      <c r="D167" s="90" t="str">
        <f>VLOOKUP(Tabela1[[#This Row],[Origem]],'Perguntas 1 a 24'!$J$28:$K$34,2,FALSE)</f>
        <v>Centro-Oeste</v>
      </c>
      <c r="E167" s="90" t="s">
        <v>11506</v>
      </c>
      <c r="F167" s="91">
        <v>45539</v>
      </c>
      <c r="G167" s="92">
        <v>20130</v>
      </c>
      <c r="H167" s="90" t="s">
        <v>9</v>
      </c>
      <c r="I1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67" s="90" t="s">
        <v>9090</v>
      </c>
    </row>
    <row r="168" spans="1:11">
      <c r="A168" s="90" t="s">
        <v>10299</v>
      </c>
      <c r="B168" s="90" t="s">
        <v>10300</v>
      </c>
      <c r="C168" s="90" t="s">
        <v>16</v>
      </c>
      <c r="D168" s="90" t="str">
        <f>VLOOKUP(Tabela1[[#This Row],[Origem]],'Perguntas 1 a 24'!$J$28:$K$34,2,FALSE)</f>
        <v>Sudeste</v>
      </c>
      <c r="E168" s="90" t="s">
        <v>11507</v>
      </c>
      <c r="F168" s="91">
        <v>45539</v>
      </c>
      <c r="G168" s="92">
        <v>21540</v>
      </c>
      <c r="H168" s="90" t="s">
        <v>11</v>
      </c>
      <c r="I1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68" s="90" t="s">
        <v>10300</v>
      </c>
    </row>
    <row r="169" spans="1:11">
      <c r="A169" s="90" t="s">
        <v>4024</v>
      </c>
      <c r="B169" s="90" t="s">
        <v>4025</v>
      </c>
      <c r="C169" s="90" t="s">
        <v>13</v>
      </c>
      <c r="D169" s="90" t="str">
        <f>VLOOKUP(Tabela1[[#This Row],[Origem]],'Perguntas 1 a 24'!$J$28:$K$34,2,FALSE)</f>
        <v>Sudeste</v>
      </c>
      <c r="E169" s="90" t="s">
        <v>11508</v>
      </c>
      <c r="F169" s="91">
        <v>45540</v>
      </c>
      <c r="G169" s="92">
        <v>57522</v>
      </c>
      <c r="H169" s="90" t="s">
        <v>7</v>
      </c>
      <c r="I1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69" s="90" t="s">
        <v>4025</v>
      </c>
    </row>
    <row r="170" spans="1:11">
      <c r="A170" s="90" t="s">
        <v>11189</v>
      </c>
      <c r="B170" s="90" t="s">
        <v>11190</v>
      </c>
      <c r="C170" s="90" t="s">
        <v>16</v>
      </c>
      <c r="D170" s="90" t="str">
        <f>VLOOKUP(Tabela1[[#This Row],[Origem]],'Perguntas 1 a 24'!$J$28:$K$34,2,FALSE)</f>
        <v>Sudeste</v>
      </c>
      <c r="E170" s="90" t="s">
        <v>11509</v>
      </c>
      <c r="F170" s="91">
        <v>45540</v>
      </c>
      <c r="G170" s="92">
        <v>33493</v>
      </c>
      <c r="H170" s="90" t="s">
        <v>7</v>
      </c>
      <c r="I1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70" s="90" t="s">
        <v>11190</v>
      </c>
    </row>
    <row r="171" spans="1:11">
      <c r="A171" s="90" t="s">
        <v>10773</v>
      </c>
      <c r="B171" s="90" t="s">
        <v>10774</v>
      </c>
      <c r="C171" s="90" t="s">
        <v>13</v>
      </c>
      <c r="D171" s="90" t="str">
        <f>VLOOKUP(Tabela1[[#This Row],[Origem]],'Perguntas 1 a 24'!$J$28:$K$34,2,FALSE)</f>
        <v>Sudeste</v>
      </c>
      <c r="E171" s="90" t="s">
        <v>11510</v>
      </c>
      <c r="F171" s="91">
        <v>45541</v>
      </c>
      <c r="G171" s="92">
        <v>56433</v>
      </c>
      <c r="H171" s="90" t="s">
        <v>11</v>
      </c>
      <c r="I1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71" s="90" t="s">
        <v>10774</v>
      </c>
    </row>
    <row r="172" spans="1:11">
      <c r="A172" s="90" t="s">
        <v>5658</v>
      </c>
      <c r="B172" s="90" t="s">
        <v>5659</v>
      </c>
      <c r="C172" s="90" t="s">
        <v>10</v>
      </c>
      <c r="D172" s="90" t="str">
        <f>VLOOKUP(Tabela1[[#This Row],[Origem]],'Perguntas 1 a 24'!$J$28:$K$34,2,FALSE)</f>
        <v>Centro-Oeste</v>
      </c>
      <c r="E172" s="90" t="s">
        <v>11511</v>
      </c>
      <c r="F172" s="91">
        <v>45543</v>
      </c>
      <c r="G172" s="92">
        <v>118035</v>
      </c>
      <c r="H172" s="90" t="s">
        <v>14</v>
      </c>
      <c r="I1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72" s="90" t="s">
        <v>5659</v>
      </c>
    </row>
    <row r="173" spans="1:11">
      <c r="A173" s="90" t="s">
        <v>9891</v>
      </c>
      <c r="B173" s="90" t="s">
        <v>9892</v>
      </c>
      <c r="C173" s="90" t="s">
        <v>10</v>
      </c>
      <c r="D173" s="90" t="str">
        <f>VLOOKUP(Tabela1[[#This Row],[Origem]],'Perguntas 1 a 24'!$J$28:$K$34,2,FALSE)</f>
        <v>Centro-Oeste</v>
      </c>
      <c r="E173" s="90" t="s">
        <v>11512</v>
      </c>
      <c r="F173" s="91">
        <v>45543</v>
      </c>
      <c r="G173" s="92">
        <v>44319</v>
      </c>
      <c r="H173" s="90" t="s">
        <v>9</v>
      </c>
      <c r="I1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73" s="90" t="s">
        <v>9892</v>
      </c>
    </row>
    <row r="174" spans="1:11">
      <c r="A174" s="90" t="s">
        <v>10037</v>
      </c>
      <c r="B174" s="90" t="s">
        <v>10038</v>
      </c>
      <c r="C174" s="90" t="s">
        <v>6</v>
      </c>
      <c r="D174" s="90" t="str">
        <f>VLOOKUP(Tabela1[[#This Row],[Origem]],'Perguntas 1 a 24'!$J$28:$K$34,2,FALSE)</f>
        <v>Nordeste</v>
      </c>
      <c r="E174" s="90" t="s">
        <v>11513</v>
      </c>
      <c r="F174" s="91">
        <v>45543</v>
      </c>
      <c r="G174" s="92">
        <v>56983</v>
      </c>
      <c r="H174" s="90" t="s">
        <v>9</v>
      </c>
      <c r="I1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74" s="90" t="s">
        <v>10038</v>
      </c>
    </row>
    <row r="175" spans="1:11">
      <c r="A175" s="90" t="s">
        <v>10883</v>
      </c>
      <c r="B175" s="90" t="s">
        <v>10884</v>
      </c>
      <c r="C175" s="90" t="s">
        <v>12</v>
      </c>
      <c r="D175" s="90" t="str">
        <f>VLOOKUP(Tabela1[[#This Row],[Origem]],'Perguntas 1 a 24'!$J$28:$K$34,2,FALSE)</f>
        <v>Sudeste</v>
      </c>
      <c r="E175" s="90" t="s">
        <v>11514</v>
      </c>
      <c r="F175" s="91">
        <v>45546</v>
      </c>
      <c r="G175" s="92">
        <v>48483</v>
      </c>
      <c r="H175" s="90" t="s">
        <v>7</v>
      </c>
      <c r="I1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75" s="90" t="s">
        <v>10884</v>
      </c>
    </row>
    <row r="176" spans="1:11">
      <c r="A176" s="90" t="s">
        <v>6306</v>
      </c>
      <c r="B176" s="90" t="s">
        <v>6307</v>
      </c>
      <c r="C176" s="90" t="s">
        <v>12</v>
      </c>
      <c r="D176" s="90" t="str">
        <f>VLOOKUP(Tabela1[[#This Row],[Origem]],'Perguntas 1 a 24'!$J$28:$K$34,2,FALSE)</f>
        <v>Sudeste</v>
      </c>
      <c r="E176" s="90" t="s">
        <v>11515</v>
      </c>
      <c r="F176" s="91">
        <v>45547</v>
      </c>
      <c r="G176" s="92">
        <v>75260</v>
      </c>
      <c r="H176" s="90" t="s">
        <v>11</v>
      </c>
      <c r="I1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76" s="90" t="s">
        <v>6307</v>
      </c>
    </row>
    <row r="177" spans="1:11">
      <c r="A177" s="90" t="s">
        <v>7326</v>
      </c>
      <c r="B177" s="90" t="s">
        <v>7327</v>
      </c>
      <c r="C177" s="90" t="s">
        <v>13</v>
      </c>
      <c r="D177" s="90" t="str">
        <f>VLOOKUP(Tabela1[[#This Row],[Origem]],'Perguntas 1 a 24'!$J$28:$K$34,2,FALSE)</f>
        <v>Sudeste</v>
      </c>
      <c r="E177" s="90" t="s">
        <v>11516</v>
      </c>
      <c r="F177" s="91">
        <v>45547</v>
      </c>
      <c r="G177" s="92">
        <v>118029</v>
      </c>
      <c r="H177" s="90" t="s">
        <v>9</v>
      </c>
      <c r="I1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77" s="90" t="s">
        <v>7327</v>
      </c>
    </row>
    <row r="178" spans="1:11">
      <c r="A178" s="90" t="s">
        <v>4656</v>
      </c>
      <c r="B178" s="90" t="s">
        <v>4657</v>
      </c>
      <c r="C178" s="90" t="s">
        <v>10</v>
      </c>
      <c r="D178" s="90" t="str">
        <f>VLOOKUP(Tabela1[[#This Row],[Origem]],'Perguntas 1 a 24'!$J$28:$K$34,2,FALSE)</f>
        <v>Centro-Oeste</v>
      </c>
      <c r="E178" s="90" t="s">
        <v>11517</v>
      </c>
      <c r="F178" s="91">
        <v>45548</v>
      </c>
      <c r="G178" s="92">
        <v>108936</v>
      </c>
      <c r="H178" s="90" t="s">
        <v>9</v>
      </c>
      <c r="I1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78" s="90" t="s">
        <v>4657</v>
      </c>
    </row>
    <row r="179" spans="1:11">
      <c r="A179" s="90" t="s">
        <v>8591</v>
      </c>
      <c r="B179" s="90" t="s">
        <v>8592</v>
      </c>
      <c r="C179" s="90" t="s">
        <v>10</v>
      </c>
      <c r="D179" s="90" t="str">
        <f>VLOOKUP(Tabela1[[#This Row],[Origem]],'Perguntas 1 a 24'!$J$28:$K$34,2,FALSE)</f>
        <v>Centro-Oeste</v>
      </c>
      <c r="E179" s="90" t="s">
        <v>11518</v>
      </c>
      <c r="F179" s="91">
        <v>45548</v>
      </c>
      <c r="G179" s="92">
        <v>101209</v>
      </c>
      <c r="H179" s="90" t="s">
        <v>7</v>
      </c>
      <c r="I1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79" s="90" t="s">
        <v>8592</v>
      </c>
    </row>
    <row r="180" spans="1:11">
      <c r="A180" s="90" t="s">
        <v>10499</v>
      </c>
      <c r="B180" s="90" t="s">
        <v>10500</v>
      </c>
      <c r="C180" s="90" t="s">
        <v>12</v>
      </c>
      <c r="D180" s="90" t="str">
        <f>VLOOKUP(Tabela1[[#This Row],[Origem]],'Perguntas 1 a 24'!$J$28:$K$34,2,FALSE)</f>
        <v>Sudeste</v>
      </c>
      <c r="E180" s="90" t="s">
        <v>11519</v>
      </c>
      <c r="F180" s="91">
        <v>45548</v>
      </c>
      <c r="G180" s="92">
        <v>110093</v>
      </c>
      <c r="H180" s="90" t="s">
        <v>11</v>
      </c>
      <c r="I1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80" s="90" t="s">
        <v>10500</v>
      </c>
    </row>
    <row r="181" spans="1:11">
      <c r="A181" s="90" t="s">
        <v>10639</v>
      </c>
      <c r="B181" s="90" t="s">
        <v>10640</v>
      </c>
      <c r="C181" s="90" t="s">
        <v>12</v>
      </c>
      <c r="D181" s="90" t="str">
        <f>VLOOKUP(Tabela1[[#This Row],[Origem]],'Perguntas 1 a 24'!$J$28:$K$34,2,FALSE)</f>
        <v>Sudeste</v>
      </c>
      <c r="E181" s="90" t="s">
        <v>11520</v>
      </c>
      <c r="F181" s="91">
        <v>45548</v>
      </c>
      <c r="G181" s="92">
        <v>99455</v>
      </c>
      <c r="H181" s="90" t="s">
        <v>7</v>
      </c>
      <c r="I1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81" s="90" t="s">
        <v>10640</v>
      </c>
    </row>
    <row r="182" spans="1:11">
      <c r="A182" s="90" t="s">
        <v>4888</v>
      </c>
      <c r="B182" s="90" t="s">
        <v>4889</v>
      </c>
      <c r="C182" s="90" t="s">
        <v>15</v>
      </c>
      <c r="D182" s="90" t="str">
        <f>VLOOKUP(Tabela1[[#This Row],[Origem]],'Perguntas 1 a 24'!$J$28:$K$34,2,FALSE)</f>
        <v>Sudeste</v>
      </c>
      <c r="E182" s="90" t="s">
        <v>11521</v>
      </c>
      <c r="F182" s="91">
        <v>45549</v>
      </c>
      <c r="G182" s="92">
        <v>23145</v>
      </c>
      <c r="H182" s="90" t="s">
        <v>7</v>
      </c>
      <c r="I1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82" s="90" t="s">
        <v>4889</v>
      </c>
    </row>
    <row r="183" spans="1:11">
      <c r="A183" s="90" t="s">
        <v>7760</v>
      </c>
      <c r="B183" s="90" t="s">
        <v>7761</v>
      </c>
      <c r="C183" s="90" t="s">
        <v>8</v>
      </c>
      <c r="D183" s="90" t="str">
        <f>VLOOKUP(Tabela1[[#This Row],[Origem]],'Perguntas 1 a 24'!$J$28:$K$34,2,FALSE)</f>
        <v>Nordeste</v>
      </c>
      <c r="E183" s="90" t="s">
        <v>11522</v>
      </c>
      <c r="F183" s="91">
        <v>45549</v>
      </c>
      <c r="G183" s="92">
        <v>74849</v>
      </c>
      <c r="H183" s="90" t="s">
        <v>9</v>
      </c>
      <c r="I1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83" s="90" t="s">
        <v>7761</v>
      </c>
    </row>
    <row r="184" spans="1:11">
      <c r="A184" s="90" t="s">
        <v>8490</v>
      </c>
      <c r="B184" s="90" t="s">
        <v>8491</v>
      </c>
      <c r="C184" s="90" t="s">
        <v>13</v>
      </c>
      <c r="D184" s="90" t="str">
        <f>VLOOKUP(Tabela1[[#This Row],[Origem]],'Perguntas 1 a 24'!$J$28:$K$34,2,FALSE)</f>
        <v>Sudeste</v>
      </c>
      <c r="E184" s="90" t="s">
        <v>11523</v>
      </c>
      <c r="F184" s="91">
        <v>45549</v>
      </c>
      <c r="G184" s="92">
        <v>74156</v>
      </c>
      <c r="H184" s="90" t="s">
        <v>9</v>
      </c>
      <c r="I1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84" s="90" t="s">
        <v>8491</v>
      </c>
    </row>
    <row r="185" spans="1:11">
      <c r="A185" s="90" t="s">
        <v>10297</v>
      </c>
      <c r="B185" s="90" t="s">
        <v>10298</v>
      </c>
      <c r="C185" s="90" t="s">
        <v>8</v>
      </c>
      <c r="D185" s="90" t="str">
        <f>VLOOKUP(Tabela1[[#This Row],[Origem]],'Perguntas 1 a 24'!$J$28:$K$34,2,FALSE)</f>
        <v>Nordeste</v>
      </c>
      <c r="E185" s="90" t="s">
        <v>11524</v>
      </c>
      <c r="F185" s="91">
        <v>45549</v>
      </c>
      <c r="G185" s="92">
        <v>22653</v>
      </c>
      <c r="H185" s="90" t="s">
        <v>14</v>
      </c>
      <c r="I1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85" s="90" t="s">
        <v>10298</v>
      </c>
    </row>
    <row r="186" spans="1:11">
      <c r="A186" s="90" t="s">
        <v>3724</v>
      </c>
      <c r="B186" s="90" t="s">
        <v>3725</v>
      </c>
      <c r="C186" s="90" t="s">
        <v>8</v>
      </c>
      <c r="D186" s="90" t="str">
        <f>VLOOKUP(Tabela1[[#This Row],[Origem]],'Perguntas 1 a 24'!$J$28:$K$34,2,FALSE)</f>
        <v>Nordeste</v>
      </c>
      <c r="E186" s="90" t="s">
        <v>11525</v>
      </c>
      <c r="F186" s="91">
        <v>45550</v>
      </c>
      <c r="G186" s="92">
        <v>83359</v>
      </c>
      <c r="H186" s="90" t="s">
        <v>7</v>
      </c>
      <c r="I1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86" s="90" t="s">
        <v>3725</v>
      </c>
    </row>
    <row r="187" spans="1:11">
      <c r="A187" s="90" t="s">
        <v>5492</v>
      </c>
      <c r="B187" s="90" t="s">
        <v>5493</v>
      </c>
      <c r="C187" s="90" t="s">
        <v>6</v>
      </c>
      <c r="D187" s="90" t="str">
        <f>VLOOKUP(Tabela1[[#This Row],[Origem]],'Perguntas 1 a 24'!$J$28:$K$34,2,FALSE)</f>
        <v>Nordeste</v>
      </c>
      <c r="E187" s="90" t="s">
        <v>11526</v>
      </c>
      <c r="F187" s="91">
        <v>45550</v>
      </c>
      <c r="G187" s="92">
        <v>42708</v>
      </c>
      <c r="H187" s="90" t="s">
        <v>14</v>
      </c>
      <c r="I1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87" s="90" t="s">
        <v>5493</v>
      </c>
    </row>
    <row r="188" spans="1:11">
      <c r="A188" s="90" t="s">
        <v>7250</v>
      </c>
      <c r="B188" s="90" t="s">
        <v>7251</v>
      </c>
      <c r="C188" s="90" t="s">
        <v>12</v>
      </c>
      <c r="D188" s="90" t="str">
        <f>VLOOKUP(Tabela1[[#This Row],[Origem]],'Perguntas 1 a 24'!$J$28:$K$34,2,FALSE)</f>
        <v>Sudeste</v>
      </c>
      <c r="E188" s="90" t="s">
        <v>11527</v>
      </c>
      <c r="F188" s="91">
        <v>45550</v>
      </c>
      <c r="G188" s="92">
        <v>26174</v>
      </c>
      <c r="H188" s="90" t="s">
        <v>9</v>
      </c>
      <c r="I1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88" s="90" t="s">
        <v>7251</v>
      </c>
    </row>
    <row r="189" spans="1:11">
      <c r="A189" s="90" t="s">
        <v>7670</v>
      </c>
      <c r="B189" s="90" t="s">
        <v>7671</v>
      </c>
      <c r="C189" s="90" t="s">
        <v>8</v>
      </c>
      <c r="D189" s="90" t="str">
        <f>VLOOKUP(Tabela1[[#This Row],[Origem]],'Perguntas 1 a 24'!$J$28:$K$34,2,FALSE)</f>
        <v>Nordeste</v>
      </c>
      <c r="E189" s="90" t="s">
        <v>11528</v>
      </c>
      <c r="F189" s="91">
        <v>45550</v>
      </c>
      <c r="G189" s="92">
        <v>37962</v>
      </c>
      <c r="H189" s="90" t="s">
        <v>7</v>
      </c>
      <c r="I1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89" s="90" t="s">
        <v>7671</v>
      </c>
    </row>
    <row r="190" spans="1:11">
      <c r="A190" s="90" t="s">
        <v>7206</v>
      </c>
      <c r="B190" s="90" t="s">
        <v>7207</v>
      </c>
      <c r="C190" s="90" t="s">
        <v>10</v>
      </c>
      <c r="D190" s="90" t="str">
        <f>VLOOKUP(Tabela1[[#This Row],[Origem]],'Perguntas 1 a 24'!$J$28:$K$34,2,FALSE)</f>
        <v>Centro-Oeste</v>
      </c>
      <c r="E190" s="90" t="s">
        <v>11529</v>
      </c>
      <c r="F190" s="91">
        <v>45551</v>
      </c>
      <c r="G190" s="92">
        <v>30365</v>
      </c>
      <c r="H190" s="90" t="s">
        <v>7</v>
      </c>
      <c r="I1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90" s="90" t="s">
        <v>7207</v>
      </c>
    </row>
    <row r="191" spans="1:11">
      <c r="A191" s="90" t="s">
        <v>10415</v>
      </c>
      <c r="B191" s="90" t="s">
        <v>10416</v>
      </c>
      <c r="C191" s="90" t="s">
        <v>12</v>
      </c>
      <c r="D191" s="90" t="str">
        <f>VLOOKUP(Tabela1[[#This Row],[Origem]],'Perguntas 1 a 24'!$J$28:$K$34,2,FALSE)</f>
        <v>Sudeste</v>
      </c>
      <c r="E191" s="90" t="s">
        <v>11530</v>
      </c>
      <c r="F191" s="91">
        <v>45551</v>
      </c>
      <c r="G191" s="92">
        <v>118748</v>
      </c>
      <c r="H191" s="90" t="s">
        <v>7</v>
      </c>
      <c r="I1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1" s="90" t="s">
        <v>10416</v>
      </c>
    </row>
    <row r="192" spans="1:11">
      <c r="A192" s="90" t="s">
        <v>11183</v>
      </c>
      <c r="B192" s="90" t="s">
        <v>11184</v>
      </c>
      <c r="C192" s="90" t="s">
        <v>13</v>
      </c>
      <c r="D192" s="90" t="str">
        <f>VLOOKUP(Tabela1[[#This Row],[Origem]],'Perguntas 1 a 24'!$J$28:$K$34,2,FALSE)</f>
        <v>Sudeste</v>
      </c>
      <c r="E192" s="90" t="s">
        <v>11531</v>
      </c>
      <c r="F192" s="91">
        <v>45554</v>
      </c>
      <c r="G192" s="92">
        <v>77798</v>
      </c>
      <c r="H192" s="90" t="s">
        <v>9</v>
      </c>
      <c r="I1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2" s="90" t="s">
        <v>11184</v>
      </c>
    </row>
    <row r="193" spans="1:11">
      <c r="A193" s="90" t="s">
        <v>9077</v>
      </c>
      <c r="B193" s="90" t="s">
        <v>9078</v>
      </c>
      <c r="C193" s="90" t="s">
        <v>8</v>
      </c>
      <c r="D193" s="90" t="str">
        <f>VLOOKUP(Tabela1[[#This Row],[Origem]],'Perguntas 1 a 24'!$J$28:$K$34,2,FALSE)</f>
        <v>Nordeste</v>
      </c>
      <c r="E193" s="90" t="s">
        <v>11532</v>
      </c>
      <c r="F193" s="91">
        <v>45555</v>
      </c>
      <c r="G193" s="92">
        <v>62696</v>
      </c>
      <c r="H193" s="90" t="s">
        <v>11</v>
      </c>
      <c r="I1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3" s="90" t="s">
        <v>9078</v>
      </c>
    </row>
    <row r="194" spans="1:11">
      <c r="A194" s="90" t="s">
        <v>7688</v>
      </c>
      <c r="B194" s="90" t="s">
        <v>7689</v>
      </c>
      <c r="C194" s="90" t="s">
        <v>6</v>
      </c>
      <c r="D194" s="90" t="str">
        <f>VLOOKUP(Tabela1[[#This Row],[Origem]],'Perguntas 1 a 24'!$J$28:$K$34,2,FALSE)</f>
        <v>Nordeste</v>
      </c>
      <c r="E194" s="90" t="s">
        <v>11533</v>
      </c>
      <c r="F194" s="91">
        <v>45557</v>
      </c>
      <c r="G194" s="92">
        <v>41834</v>
      </c>
      <c r="H194" s="90" t="s">
        <v>14</v>
      </c>
      <c r="I1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194" s="90" t="s">
        <v>7689</v>
      </c>
    </row>
    <row r="195" spans="1:11">
      <c r="A195" s="90" t="s">
        <v>8496</v>
      </c>
      <c r="B195" s="90" t="s">
        <v>8497</v>
      </c>
      <c r="C195" s="90" t="s">
        <v>13</v>
      </c>
      <c r="D195" s="90" t="str">
        <f>VLOOKUP(Tabela1[[#This Row],[Origem]],'Perguntas 1 a 24'!$J$28:$K$34,2,FALSE)</f>
        <v>Sudeste</v>
      </c>
      <c r="E195" s="90" t="s">
        <v>11534</v>
      </c>
      <c r="F195" s="91">
        <v>45557</v>
      </c>
      <c r="G195" s="92">
        <v>114114</v>
      </c>
      <c r="H195" s="90" t="s">
        <v>14</v>
      </c>
      <c r="I1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5" s="90" t="s">
        <v>8497</v>
      </c>
    </row>
    <row r="196" spans="1:11">
      <c r="A196" s="90" t="s">
        <v>5234</v>
      </c>
      <c r="B196" s="90" t="s">
        <v>5235</v>
      </c>
      <c r="C196" s="90" t="s">
        <v>10</v>
      </c>
      <c r="D196" s="90" t="str">
        <f>VLOOKUP(Tabela1[[#This Row],[Origem]],'Perguntas 1 a 24'!$J$28:$K$34,2,FALSE)</f>
        <v>Centro-Oeste</v>
      </c>
      <c r="E196" s="90" t="s">
        <v>11535</v>
      </c>
      <c r="F196" s="91">
        <v>45558</v>
      </c>
      <c r="G196" s="92">
        <v>70087</v>
      </c>
      <c r="H196" s="90" t="s">
        <v>14</v>
      </c>
      <c r="I1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6" s="90" t="s">
        <v>5235</v>
      </c>
    </row>
    <row r="197" spans="1:11">
      <c r="A197" s="90" t="s">
        <v>6016</v>
      </c>
      <c r="B197" s="90" t="s">
        <v>6017</v>
      </c>
      <c r="C197" s="90" t="s">
        <v>13</v>
      </c>
      <c r="D197" s="90" t="str">
        <f>VLOOKUP(Tabela1[[#This Row],[Origem]],'Perguntas 1 a 24'!$J$28:$K$34,2,FALSE)</f>
        <v>Sudeste</v>
      </c>
      <c r="E197" s="90" t="s">
        <v>11536</v>
      </c>
      <c r="F197" s="91">
        <v>45558</v>
      </c>
      <c r="G197" s="92">
        <v>57064</v>
      </c>
      <c r="H197" s="90" t="s">
        <v>7</v>
      </c>
      <c r="I1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7" s="90" t="s">
        <v>6017</v>
      </c>
    </row>
    <row r="198" spans="1:11">
      <c r="A198" s="90" t="s">
        <v>8234</v>
      </c>
      <c r="B198" s="90" t="s">
        <v>8235</v>
      </c>
      <c r="C198" s="90" t="s">
        <v>8</v>
      </c>
      <c r="D198" s="90" t="str">
        <f>VLOOKUP(Tabela1[[#This Row],[Origem]],'Perguntas 1 a 24'!$J$28:$K$34,2,FALSE)</f>
        <v>Nordeste</v>
      </c>
      <c r="E198" s="90" t="s">
        <v>11537</v>
      </c>
      <c r="F198" s="91">
        <v>45558</v>
      </c>
      <c r="G198" s="92">
        <v>57224</v>
      </c>
      <c r="H198" s="90" t="s">
        <v>14</v>
      </c>
      <c r="I1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8" s="90" t="s">
        <v>8235</v>
      </c>
    </row>
    <row r="199" spans="1:11">
      <c r="A199" s="90" t="s">
        <v>8370</v>
      </c>
      <c r="B199" s="90" t="s">
        <v>8371</v>
      </c>
      <c r="C199" s="90" t="s">
        <v>13</v>
      </c>
      <c r="D199" s="90" t="str">
        <f>VLOOKUP(Tabela1[[#This Row],[Origem]],'Perguntas 1 a 24'!$J$28:$K$34,2,FALSE)</f>
        <v>Sudeste</v>
      </c>
      <c r="E199" s="90" t="s">
        <v>11538</v>
      </c>
      <c r="F199" s="91">
        <v>45558</v>
      </c>
      <c r="G199" s="92">
        <v>113345</v>
      </c>
      <c r="H199" s="90" t="s">
        <v>9</v>
      </c>
      <c r="I1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199" s="90" t="s">
        <v>8371</v>
      </c>
    </row>
    <row r="200" spans="1:11">
      <c r="A200" s="90" t="s">
        <v>7780</v>
      </c>
      <c r="B200" s="90" t="s">
        <v>7781</v>
      </c>
      <c r="C200" s="90" t="s">
        <v>8</v>
      </c>
      <c r="D200" s="90" t="str">
        <f>VLOOKUP(Tabela1[[#This Row],[Origem]],'Perguntas 1 a 24'!$J$28:$K$34,2,FALSE)</f>
        <v>Nordeste</v>
      </c>
      <c r="E200" s="90" t="s">
        <v>11539</v>
      </c>
      <c r="F200" s="91">
        <v>45559</v>
      </c>
      <c r="G200" s="92">
        <v>109775</v>
      </c>
      <c r="H200" s="90" t="s">
        <v>14</v>
      </c>
      <c r="I2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00" s="90" t="s">
        <v>7781</v>
      </c>
    </row>
    <row r="201" spans="1:11">
      <c r="A201" s="90" t="s">
        <v>11028</v>
      </c>
      <c r="B201" s="90" t="s">
        <v>11029</v>
      </c>
      <c r="C201" s="90" t="s">
        <v>12</v>
      </c>
      <c r="D201" s="90" t="str">
        <f>VLOOKUP(Tabela1[[#This Row],[Origem]],'Perguntas 1 a 24'!$J$28:$K$34,2,FALSE)</f>
        <v>Sudeste</v>
      </c>
      <c r="E201" s="90" t="s">
        <v>11540</v>
      </c>
      <c r="F201" s="91">
        <v>45559</v>
      </c>
      <c r="G201" s="92">
        <v>81040</v>
      </c>
      <c r="H201" s="90" t="s">
        <v>11</v>
      </c>
      <c r="I2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01" s="90" t="s">
        <v>11029</v>
      </c>
    </row>
    <row r="202" spans="1:11">
      <c r="A202" s="90" t="s">
        <v>7990</v>
      </c>
      <c r="B202" s="90" t="s">
        <v>7991</v>
      </c>
      <c r="C202" s="90" t="s">
        <v>12</v>
      </c>
      <c r="D202" s="90" t="str">
        <f>VLOOKUP(Tabela1[[#This Row],[Origem]],'Perguntas 1 a 24'!$J$28:$K$34,2,FALSE)</f>
        <v>Sudeste</v>
      </c>
      <c r="E202" s="90" t="s">
        <v>11541</v>
      </c>
      <c r="F202" s="91">
        <v>45560</v>
      </c>
      <c r="G202" s="92">
        <v>105482</v>
      </c>
      <c r="H202" s="90" t="s">
        <v>9</v>
      </c>
      <c r="I2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02" s="90" t="s">
        <v>7991</v>
      </c>
    </row>
    <row r="203" spans="1:11">
      <c r="A203" s="90" t="s">
        <v>7408</v>
      </c>
      <c r="B203" s="90" t="s">
        <v>7409</v>
      </c>
      <c r="C203" s="90" t="s">
        <v>15</v>
      </c>
      <c r="D203" s="90" t="str">
        <f>VLOOKUP(Tabela1[[#This Row],[Origem]],'Perguntas 1 a 24'!$J$28:$K$34,2,FALSE)</f>
        <v>Sudeste</v>
      </c>
      <c r="E203" s="90" t="s">
        <v>11542</v>
      </c>
      <c r="F203" s="91">
        <v>45561</v>
      </c>
      <c r="G203" s="92">
        <v>79914</v>
      </c>
      <c r="H203" s="90" t="s">
        <v>7</v>
      </c>
      <c r="I2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03" s="90" t="s">
        <v>7409</v>
      </c>
    </row>
    <row r="204" spans="1:11">
      <c r="A204" s="90" t="s">
        <v>9881</v>
      </c>
      <c r="B204" s="90" t="s">
        <v>9882</v>
      </c>
      <c r="C204" s="90" t="s">
        <v>12</v>
      </c>
      <c r="D204" s="90" t="str">
        <f>VLOOKUP(Tabela1[[#This Row],[Origem]],'Perguntas 1 a 24'!$J$28:$K$34,2,FALSE)</f>
        <v>Sudeste</v>
      </c>
      <c r="E204" s="90" t="s">
        <v>11543</v>
      </c>
      <c r="F204" s="91">
        <v>45561</v>
      </c>
      <c r="G204" s="92">
        <v>114991</v>
      </c>
      <c r="H204" s="90" t="s">
        <v>14</v>
      </c>
      <c r="I2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04" s="90" t="s">
        <v>9882</v>
      </c>
    </row>
    <row r="205" spans="1:11">
      <c r="A205" s="90" t="s">
        <v>8066</v>
      </c>
      <c r="B205" s="90" t="s">
        <v>8067</v>
      </c>
      <c r="C205" s="90" t="s">
        <v>13</v>
      </c>
      <c r="D205" s="90" t="str">
        <f>VLOOKUP(Tabela1[[#This Row],[Origem]],'Perguntas 1 a 24'!$J$28:$K$34,2,FALSE)</f>
        <v>Sudeste</v>
      </c>
      <c r="E205" s="90" t="s">
        <v>11544</v>
      </c>
      <c r="F205" s="91">
        <v>45562</v>
      </c>
      <c r="G205" s="92">
        <v>111813</v>
      </c>
      <c r="H205" s="90" t="s">
        <v>14</v>
      </c>
      <c r="I2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05" s="90" t="s">
        <v>8067</v>
      </c>
    </row>
    <row r="206" spans="1:11">
      <c r="A206" s="90" t="s">
        <v>10103</v>
      </c>
      <c r="B206" s="90" t="s">
        <v>10104</v>
      </c>
      <c r="C206" s="90" t="s">
        <v>6</v>
      </c>
      <c r="D206" s="90" t="str">
        <f>VLOOKUP(Tabela1[[#This Row],[Origem]],'Perguntas 1 a 24'!$J$28:$K$34,2,FALSE)</f>
        <v>Nordeste</v>
      </c>
      <c r="E206" s="90" t="s">
        <v>11545</v>
      </c>
      <c r="F206" s="91">
        <v>45562</v>
      </c>
      <c r="G206" s="92">
        <v>31170</v>
      </c>
      <c r="H206" s="90" t="s">
        <v>9</v>
      </c>
      <c r="I2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06" s="90" t="s">
        <v>10104</v>
      </c>
    </row>
    <row r="207" spans="1:11">
      <c r="A207" s="90" t="s">
        <v>4602</v>
      </c>
      <c r="B207" s="90" t="s">
        <v>4603</v>
      </c>
      <c r="C207" s="90" t="s">
        <v>15</v>
      </c>
      <c r="D207" s="90" t="str">
        <f>VLOOKUP(Tabela1[[#This Row],[Origem]],'Perguntas 1 a 24'!$J$28:$K$34,2,FALSE)</f>
        <v>Sudeste</v>
      </c>
      <c r="E207" s="90" t="s">
        <v>11546</v>
      </c>
      <c r="F207" s="91">
        <v>45563</v>
      </c>
      <c r="G207" s="92">
        <v>42779</v>
      </c>
      <c r="H207" s="90" t="s">
        <v>9</v>
      </c>
      <c r="I2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07" s="90" t="s">
        <v>4603</v>
      </c>
    </row>
    <row r="208" spans="1:11">
      <c r="A208" s="90" t="s">
        <v>6078</v>
      </c>
      <c r="B208" s="90" t="s">
        <v>6079</v>
      </c>
      <c r="C208" s="90" t="s">
        <v>8</v>
      </c>
      <c r="D208" s="90" t="str">
        <f>VLOOKUP(Tabela1[[#This Row],[Origem]],'Perguntas 1 a 24'!$J$28:$K$34,2,FALSE)</f>
        <v>Nordeste</v>
      </c>
      <c r="E208" s="90" t="s">
        <v>11547</v>
      </c>
      <c r="F208" s="91">
        <v>45563</v>
      </c>
      <c r="G208" s="92">
        <v>93242</v>
      </c>
      <c r="H208" s="90" t="s">
        <v>9</v>
      </c>
      <c r="I2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08" s="90" t="s">
        <v>6079</v>
      </c>
    </row>
    <row r="209" spans="1:11">
      <c r="A209" s="90" t="s">
        <v>8895</v>
      </c>
      <c r="B209" s="90" t="s">
        <v>8896</v>
      </c>
      <c r="C209" s="90" t="s">
        <v>16</v>
      </c>
      <c r="D209" s="90" t="str">
        <f>VLOOKUP(Tabela1[[#This Row],[Origem]],'Perguntas 1 a 24'!$J$28:$K$34,2,FALSE)</f>
        <v>Sudeste</v>
      </c>
      <c r="E209" s="90" t="s">
        <v>11548</v>
      </c>
      <c r="F209" s="91">
        <v>45564</v>
      </c>
      <c r="G209" s="92">
        <v>55380</v>
      </c>
      <c r="H209" s="90" t="s">
        <v>9</v>
      </c>
      <c r="I2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09" s="90" t="s">
        <v>8896</v>
      </c>
    </row>
    <row r="210" spans="1:11">
      <c r="A210" s="90" t="s">
        <v>10833</v>
      </c>
      <c r="B210" s="90" t="s">
        <v>10834</v>
      </c>
      <c r="C210" s="90" t="s">
        <v>6</v>
      </c>
      <c r="D210" s="90" t="str">
        <f>VLOOKUP(Tabela1[[#This Row],[Origem]],'Perguntas 1 a 24'!$J$28:$K$34,2,FALSE)</f>
        <v>Nordeste</v>
      </c>
      <c r="E210" s="90" t="s">
        <v>11549</v>
      </c>
      <c r="F210" s="91">
        <v>45564</v>
      </c>
      <c r="G210" s="92">
        <v>27134</v>
      </c>
      <c r="H210" s="90" t="s">
        <v>9</v>
      </c>
      <c r="I2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10" s="90" t="s">
        <v>10834</v>
      </c>
    </row>
    <row r="211" spans="1:11">
      <c r="A211" s="90" t="s">
        <v>4696</v>
      </c>
      <c r="B211" s="90" t="s">
        <v>4697</v>
      </c>
      <c r="C211" s="90" t="s">
        <v>13</v>
      </c>
      <c r="D211" s="90" t="str">
        <f>VLOOKUP(Tabela1[[#This Row],[Origem]],'Perguntas 1 a 24'!$J$28:$K$34,2,FALSE)</f>
        <v>Sudeste</v>
      </c>
      <c r="E211" s="90" t="s">
        <v>11550</v>
      </c>
      <c r="F211" s="91">
        <v>45565</v>
      </c>
      <c r="G211" s="92">
        <v>83660</v>
      </c>
      <c r="H211" s="90" t="s">
        <v>11</v>
      </c>
      <c r="I2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11" s="90" t="s">
        <v>4697</v>
      </c>
    </row>
    <row r="212" spans="1:11">
      <c r="A212" s="90" t="s">
        <v>7796</v>
      </c>
      <c r="B212" s="90" t="s">
        <v>7797</v>
      </c>
      <c r="C212" s="90" t="s">
        <v>16</v>
      </c>
      <c r="D212" s="90" t="str">
        <f>VLOOKUP(Tabela1[[#This Row],[Origem]],'Perguntas 1 a 24'!$J$28:$K$34,2,FALSE)</f>
        <v>Sudeste</v>
      </c>
      <c r="E212" s="90" t="s">
        <v>11551</v>
      </c>
      <c r="F212" s="91">
        <v>45565</v>
      </c>
      <c r="G212" s="92">
        <v>87699</v>
      </c>
      <c r="H212" s="90" t="s">
        <v>9</v>
      </c>
      <c r="I2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12" s="90" t="s">
        <v>7797</v>
      </c>
    </row>
    <row r="213" spans="1:11">
      <c r="A213" s="90" t="s">
        <v>10769</v>
      </c>
      <c r="B213" s="90" t="s">
        <v>10770</v>
      </c>
      <c r="C213" s="90" t="s">
        <v>12</v>
      </c>
      <c r="D213" s="90" t="str">
        <f>VLOOKUP(Tabela1[[#This Row],[Origem]],'Perguntas 1 a 24'!$J$28:$K$34,2,FALSE)</f>
        <v>Sudeste</v>
      </c>
      <c r="E213" s="90" t="s">
        <v>11552</v>
      </c>
      <c r="F213" s="91">
        <v>45565</v>
      </c>
      <c r="G213" s="92">
        <v>82234</v>
      </c>
      <c r="H213" s="90" t="s">
        <v>14</v>
      </c>
      <c r="I2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13" s="90" t="s">
        <v>10770</v>
      </c>
    </row>
    <row r="214" spans="1:11">
      <c r="A214" s="90" t="s">
        <v>4994</v>
      </c>
      <c r="B214" s="90" t="s">
        <v>4995</v>
      </c>
      <c r="C214" s="90" t="s">
        <v>6</v>
      </c>
      <c r="D214" s="90" t="str">
        <f>VLOOKUP(Tabela1[[#This Row],[Origem]],'Perguntas 1 a 24'!$J$28:$K$34,2,FALSE)</f>
        <v>Nordeste</v>
      </c>
      <c r="E214" s="90" t="s">
        <v>11553</v>
      </c>
      <c r="F214" s="91">
        <v>45566</v>
      </c>
      <c r="G214" s="92">
        <v>92118</v>
      </c>
      <c r="H214" s="90" t="s">
        <v>7</v>
      </c>
      <c r="I2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14" s="90" t="s">
        <v>4995</v>
      </c>
    </row>
    <row r="215" spans="1:11">
      <c r="A215" s="90" t="s">
        <v>6468</v>
      </c>
      <c r="B215" s="90" t="s">
        <v>6469</v>
      </c>
      <c r="C215" s="90" t="s">
        <v>8</v>
      </c>
      <c r="D215" s="90" t="str">
        <f>VLOOKUP(Tabela1[[#This Row],[Origem]],'Perguntas 1 a 24'!$J$28:$K$34,2,FALSE)</f>
        <v>Nordeste</v>
      </c>
      <c r="E215" s="90" t="s">
        <v>11554</v>
      </c>
      <c r="F215" s="91">
        <v>45566</v>
      </c>
      <c r="G215" s="92">
        <v>77657</v>
      </c>
      <c r="H215" s="90" t="s">
        <v>7</v>
      </c>
      <c r="I2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15" s="90" t="s">
        <v>6469</v>
      </c>
    </row>
    <row r="216" spans="1:11">
      <c r="A216" s="90" t="s">
        <v>7228</v>
      </c>
      <c r="B216" s="90" t="s">
        <v>7229</v>
      </c>
      <c r="C216" s="90" t="s">
        <v>10</v>
      </c>
      <c r="D216" s="90" t="str">
        <f>VLOOKUP(Tabela1[[#This Row],[Origem]],'Perguntas 1 a 24'!$J$28:$K$34,2,FALSE)</f>
        <v>Centro-Oeste</v>
      </c>
      <c r="E216" s="90" t="s">
        <v>11555</v>
      </c>
      <c r="F216" s="91">
        <v>45566</v>
      </c>
      <c r="G216" s="92">
        <v>46139</v>
      </c>
      <c r="H216" s="90" t="s">
        <v>9</v>
      </c>
      <c r="I2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16" s="90" t="s">
        <v>7229</v>
      </c>
    </row>
    <row r="217" spans="1:11">
      <c r="A217" s="90" t="s">
        <v>4580</v>
      </c>
      <c r="B217" s="90" t="s">
        <v>4581</v>
      </c>
      <c r="C217" s="90" t="s">
        <v>6</v>
      </c>
      <c r="D217" s="90" t="str">
        <f>VLOOKUP(Tabela1[[#This Row],[Origem]],'Perguntas 1 a 24'!$J$28:$K$34,2,FALSE)</f>
        <v>Nordeste</v>
      </c>
      <c r="E217" s="90" t="s">
        <v>11556</v>
      </c>
      <c r="F217" s="91">
        <v>45568</v>
      </c>
      <c r="G217" s="92">
        <v>21138</v>
      </c>
      <c r="H217" s="90" t="s">
        <v>14</v>
      </c>
      <c r="I2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17" s="90" t="s">
        <v>4581</v>
      </c>
    </row>
    <row r="218" spans="1:11">
      <c r="A218" s="90" t="s">
        <v>5410</v>
      </c>
      <c r="B218" s="90" t="s">
        <v>5411</v>
      </c>
      <c r="C218" s="90" t="s">
        <v>12</v>
      </c>
      <c r="D218" s="90" t="str">
        <f>VLOOKUP(Tabela1[[#This Row],[Origem]],'Perguntas 1 a 24'!$J$28:$K$34,2,FALSE)</f>
        <v>Sudeste</v>
      </c>
      <c r="E218" s="90" t="s">
        <v>11557</v>
      </c>
      <c r="F218" s="91">
        <v>45570</v>
      </c>
      <c r="G218" s="92">
        <v>29986</v>
      </c>
      <c r="H218" s="90" t="s">
        <v>11</v>
      </c>
      <c r="I2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18" s="90" t="s">
        <v>5411</v>
      </c>
    </row>
    <row r="219" spans="1:11">
      <c r="A219" s="90" t="s">
        <v>7110</v>
      </c>
      <c r="B219" s="90" t="s">
        <v>7111</v>
      </c>
      <c r="C219" s="90" t="s">
        <v>8</v>
      </c>
      <c r="D219" s="90" t="str">
        <f>VLOOKUP(Tabela1[[#This Row],[Origem]],'Perguntas 1 a 24'!$J$28:$K$34,2,FALSE)</f>
        <v>Nordeste</v>
      </c>
      <c r="E219" s="90" t="s">
        <v>11558</v>
      </c>
      <c r="F219" s="91">
        <v>45570</v>
      </c>
      <c r="G219" s="92">
        <v>65053</v>
      </c>
      <c r="H219" s="90" t="s">
        <v>14</v>
      </c>
      <c r="I2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19" s="90" t="s">
        <v>7111</v>
      </c>
    </row>
    <row r="220" spans="1:11">
      <c r="A220" s="90" t="s">
        <v>10155</v>
      </c>
      <c r="B220" s="90" t="s">
        <v>10156</v>
      </c>
      <c r="C220" s="90" t="s">
        <v>8</v>
      </c>
      <c r="D220" s="90" t="str">
        <f>VLOOKUP(Tabela1[[#This Row],[Origem]],'Perguntas 1 a 24'!$J$28:$K$34,2,FALSE)</f>
        <v>Nordeste</v>
      </c>
      <c r="E220" s="90" t="s">
        <v>11559</v>
      </c>
      <c r="F220" s="91">
        <v>45572</v>
      </c>
      <c r="G220" s="92">
        <v>86057</v>
      </c>
      <c r="H220" s="90" t="s">
        <v>9</v>
      </c>
      <c r="I2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20" s="90" t="s">
        <v>10156</v>
      </c>
    </row>
    <row r="221" spans="1:11">
      <c r="A221" s="90" t="s">
        <v>3776</v>
      </c>
      <c r="B221" s="90" t="s">
        <v>3777</v>
      </c>
      <c r="C221" s="90" t="s">
        <v>16</v>
      </c>
      <c r="D221" s="90" t="str">
        <f>VLOOKUP(Tabela1[[#This Row],[Origem]],'Perguntas 1 a 24'!$J$28:$K$34,2,FALSE)</f>
        <v>Sudeste</v>
      </c>
      <c r="E221" s="90" t="s">
        <v>11560</v>
      </c>
      <c r="F221" s="91">
        <v>45573</v>
      </c>
      <c r="G221" s="92">
        <v>80058</v>
      </c>
      <c r="H221" s="90" t="s">
        <v>9</v>
      </c>
      <c r="I2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21" s="90" t="s">
        <v>3777</v>
      </c>
    </row>
    <row r="222" spans="1:11">
      <c r="A222" s="90" t="s">
        <v>4778</v>
      </c>
      <c r="B222" s="90" t="s">
        <v>4779</v>
      </c>
      <c r="C222" s="90" t="s">
        <v>10</v>
      </c>
      <c r="D222" s="90" t="str">
        <f>VLOOKUP(Tabela1[[#This Row],[Origem]],'Perguntas 1 a 24'!$J$28:$K$34,2,FALSE)</f>
        <v>Centro-Oeste</v>
      </c>
      <c r="E222" s="90" t="s">
        <v>11561</v>
      </c>
      <c r="F222" s="91">
        <v>45573</v>
      </c>
      <c r="G222" s="92">
        <v>34468</v>
      </c>
      <c r="H222" s="90" t="s">
        <v>14</v>
      </c>
      <c r="I2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22" s="90" t="s">
        <v>4779</v>
      </c>
    </row>
    <row r="223" spans="1:11">
      <c r="A223" s="90" t="s">
        <v>5826</v>
      </c>
      <c r="B223" s="90" t="s">
        <v>5827</v>
      </c>
      <c r="C223" s="90" t="s">
        <v>13</v>
      </c>
      <c r="D223" s="90" t="str">
        <f>VLOOKUP(Tabela1[[#This Row],[Origem]],'Perguntas 1 a 24'!$J$28:$K$34,2,FALSE)</f>
        <v>Sudeste</v>
      </c>
      <c r="E223" s="90" t="s">
        <v>11562</v>
      </c>
      <c r="F223" s="91">
        <v>45573</v>
      </c>
      <c r="G223" s="92">
        <v>112270</v>
      </c>
      <c r="H223" s="90" t="s">
        <v>11</v>
      </c>
      <c r="I2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23" s="90" t="s">
        <v>5827</v>
      </c>
    </row>
    <row r="224" spans="1:11">
      <c r="A224" s="90" t="s">
        <v>10601</v>
      </c>
      <c r="B224" s="90" t="s">
        <v>10602</v>
      </c>
      <c r="C224" s="90" t="s">
        <v>6</v>
      </c>
      <c r="D224" s="90" t="str">
        <f>VLOOKUP(Tabela1[[#This Row],[Origem]],'Perguntas 1 a 24'!$J$28:$K$34,2,FALSE)</f>
        <v>Nordeste</v>
      </c>
      <c r="E224" s="90" t="s">
        <v>11563</v>
      </c>
      <c r="F224" s="91">
        <v>45574</v>
      </c>
      <c r="G224" s="92">
        <v>86325</v>
      </c>
      <c r="H224" s="90" t="s">
        <v>7</v>
      </c>
      <c r="I2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24" s="90" t="s">
        <v>10602</v>
      </c>
    </row>
    <row r="225" spans="1:11">
      <c r="A225" s="90" t="s">
        <v>5854</v>
      </c>
      <c r="B225" s="90" t="s">
        <v>5855</v>
      </c>
      <c r="C225" s="90" t="s">
        <v>6</v>
      </c>
      <c r="D225" s="90" t="str">
        <f>VLOOKUP(Tabela1[[#This Row],[Origem]],'Perguntas 1 a 24'!$J$28:$K$34,2,FALSE)</f>
        <v>Nordeste</v>
      </c>
      <c r="E225" s="90" t="s">
        <v>11564</v>
      </c>
      <c r="F225" s="91">
        <v>45575</v>
      </c>
      <c r="G225" s="92">
        <v>31301</v>
      </c>
      <c r="H225" s="90" t="s">
        <v>11</v>
      </c>
      <c r="I2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25" s="90" t="s">
        <v>5855</v>
      </c>
    </row>
    <row r="226" spans="1:11">
      <c r="A226" s="90" t="s">
        <v>8036</v>
      </c>
      <c r="B226" s="90" t="s">
        <v>8037</v>
      </c>
      <c r="C226" s="90" t="s">
        <v>16</v>
      </c>
      <c r="D226" s="90" t="str">
        <f>VLOOKUP(Tabela1[[#This Row],[Origem]],'Perguntas 1 a 24'!$J$28:$K$34,2,FALSE)</f>
        <v>Sudeste</v>
      </c>
      <c r="E226" s="90" t="s">
        <v>11565</v>
      </c>
      <c r="F226" s="91">
        <v>45575</v>
      </c>
      <c r="G226" s="92">
        <v>113689</v>
      </c>
      <c r="H226" s="90" t="s">
        <v>11</v>
      </c>
      <c r="I2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26" s="90" t="s">
        <v>8037</v>
      </c>
    </row>
    <row r="227" spans="1:11">
      <c r="A227" s="90" t="s">
        <v>4132</v>
      </c>
      <c r="B227" s="90" t="s">
        <v>4133</v>
      </c>
      <c r="C227" s="90" t="s">
        <v>6</v>
      </c>
      <c r="D227" s="90" t="str">
        <f>VLOOKUP(Tabela1[[#This Row],[Origem]],'Perguntas 1 a 24'!$J$28:$K$34,2,FALSE)</f>
        <v>Nordeste</v>
      </c>
      <c r="E227" s="90" t="s">
        <v>11566</v>
      </c>
      <c r="F227" s="91">
        <v>45576</v>
      </c>
      <c r="G227" s="92">
        <v>72651</v>
      </c>
      <c r="H227" s="90" t="s">
        <v>7</v>
      </c>
      <c r="I2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27" s="90" t="s">
        <v>4133</v>
      </c>
    </row>
    <row r="228" spans="1:11">
      <c r="A228" s="90" t="s">
        <v>9183</v>
      </c>
      <c r="B228" s="90" t="s">
        <v>9184</v>
      </c>
      <c r="C228" s="90" t="s">
        <v>6</v>
      </c>
      <c r="D228" s="90" t="str">
        <f>VLOOKUP(Tabela1[[#This Row],[Origem]],'Perguntas 1 a 24'!$J$28:$K$34,2,FALSE)</f>
        <v>Nordeste</v>
      </c>
      <c r="E228" s="90" t="s">
        <v>11567</v>
      </c>
      <c r="F228" s="91">
        <v>45576</v>
      </c>
      <c r="G228" s="92">
        <v>38083</v>
      </c>
      <c r="H228" s="90" t="s">
        <v>7</v>
      </c>
      <c r="I2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28" s="90" t="s">
        <v>9184</v>
      </c>
    </row>
    <row r="229" spans="1:11">
      <c r="A229" s="90" t="s">
        <v>6818</v>
      </c>
      <c r="B229" s="90" t="s">
        <v>6819</v>
      </c>
      <c r="C229" s="90" t="s">
        <v>16</v>
      </c>
      <c r="D229" s="90" t="str">
        <f>VLOOKUP(Tabela1[[#This Row],[Origem]],'Perguntas 1 a 24'!$J$28:$K$34,2,FALSE)</f>
        <v>Sudeste</v>
      </c>
      <c r="E229" s="90" t="s">
        <v>11568</v>
      </c>
      <c r="F229" s="91">
        <v>45577</v>
      </c>
      <c r="G229" s="92">
        <v>79542</v>
      </c>
      <c r="H229" s="90" t="s">
        <v>7</v>
      </c>
      <c r="I2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29" s="90" t="s">
        <v>6819</v>
      </c>
    </row>
    <row r="230" spans="1:11">
      <c r="A230" s="90" t="s">
        <v>5102</v>
      </c>
      <c r="B230" s="90" t="s">
        <v>5103</v>
      </c>
      <c r="C230" s="90" t="s">
        <v>8</v>
      </c>
      <c r="D230" s="90" t="str">
        <f>VLOOKUP(Tabela1[[#This Row],[Origem]],'Perguntas 1 a 24'!$J$28:$K$34,2,FALSE)</f>
        <v>Nordeste</v>
      </c>
      <c r="E230" s="90" t="s">
        <v>11569</v>
      </c>
      <c r="F230" s="91">
        <v>45578</v>
      </c>
      <c r="G230" s="92">
        <v>42451</v>
      </c>
      <c r="H230" s="90" t="s">
        <v>9</v>
      </c>
      <c r="I2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30" s="90" t="s">
        <v>5103</v>
      </c>
    </row>
    <row r="231" spans="1:11">
      <c r="A231" s="90" t="s">
        <v>5894</v>
      </c>
      <c r="B231" s="90" t="s">
        <v>5895</v>
      </c>
      <c r="C231" s="90" t="s">
        <v>16</v>
      </c>
      <c r="D231" s="90" t="str">
        <f>VLOOKUP(Tabela1[[#This Row],[Origem]],'Perguntas 1 a 24'!$J$28:$K$34,2,FALSE)</f>
        <v>Sudeste</v>
      </c>
      <c r="E231" s="90" t="s">
        <v>11570</v>
      </c>
      <c r="F231" s="91">
        <v>45578</v>
      </c>
      <c r="G231" s="92">
        <v>67943</v>
      </c>
      <c r="H231" s="90" t="s">
        <v>7</v>
      </c>
      <c r="I2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31" s="90" t="s">
        <v>5895</v>
      </c>
    </row>
    <row r="232" spans="1:11">
      <c r="A232" s="90" t="s">
        <v>9175</v>
      </c>
      <c r="B232" s="90" t="s">
        <v>9176</v>
      </c>
      <c r="C232" s="90" t="s">
        <v>15</v>
      </c>
      <c r="D232" s="90" t="str">
        <f>VLOOKUP(Tabela1[[#This Row],[Origem]],'Perguntas 1 a 24'!$J$28:$K$34,2,FALSE)</f>
        <v>Sudeste</v>
      </c>
      <c r="E232" s="90" t="s">
        <v>11571</v>
      </c>
      <c r="F232" s="91">
        <v>45578</v>
      </c>
      <c r="G232" s="92">
        <v>115463</v>
      </c>
      <c r="H232" s="90" t="s">
        <v>9</v>
      </c>
      <c r="I2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32" s="90" t="s">
        <v>9176</v>
      </c>
    </row>
    <row r="233" spans="1:11">
      <c r="A233" s="90" t="s">
        <v>10237</v>
      </c>
      <c r="B233" s="90" t="s">
        <v>10238</v>
      </c>
      <c r="C233" s="90" t="s">
        <v>12</v>
      </c>
      <c r="D233" s="90" t="str">
        <f>VLOOKUP(Tabela1[[#This Row],[Origem]],'Perguntas 1 a 24'!$J$28:$K$34,2,FALSE)</f>
        <v>Sudeste</v>
      </c>
      <c r="E233" s="90" t="s">
        <v>11572</v>
      </c>
      <c r="F233" s="91">
        <v>45578</v>
      </c>
      <c r="G233" s="92">
        <v>34966</v>
      </c>
      <c r="H233" s="90" t="s">
        <v>9</v>
      </c>
      <c r="I2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33" s="90" t="s">
        <v>10238</v>
      </c>
    </row>
    <row r="234" spans="1:11">
      <c r="A234" s="90" t="s">
        <v>8426</v>
      </c>
      <c r="B234" s="90" t="s">
        <v>8427</v>
      </c>
      <c r="C234" s="90" t="s">
        <v>16</v>
      </c>
      <c r="D234" s="90" t="str">
        <f>VLOOKUP(Tabela1[[#This Row],[Origem]],'Perguntas 1 a 24'!$J$28:$K$34,2,FALSE)</f>
        <v>Sudeste</v>
      </c>
      <c r="E234" s="90" t="s">
        <v>11573</v>
      </c>
      <c r="F234" s="91">
        <v>45579</v>
      </c>
      <c r="G234" s="92">
        <v>26037</v>
      </c>
      <c r="H234" s="90" t="s">
        <v>9</v>
      </c>
      <c r="I2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34" s="90" t="s">
        <v>8427</v>
      </c>
    </row>
    <row r="235" spans="1:11">
      <c r="A235" s="90" t="s">
        <v>8655</v>
      </c>
      <c r="B235" s="90" t="s">
        <v>8656</v>
      </c>
      <c r="C235" s="90" t="s">
        <v>13</v>
      </c>
      <c r="D235" s="90" t="str">
        <f>VLOOKUP(Tabela1[[#This Row],[Origem]],'Perguntas 1 a 24'!$J$28:$K$34,2,FALSE)</f>
        <v>Sudeste</v>
      </c>
      <c r="E235" s="90" t="s">
        <v>11574</v>
      </c>
      <c r="F235" s="91">
        <v>45579</v>
      </c>
      <c r="G235" s="92">
        <v>68615</v>
      </c>
      <c r="H235" s="90" t="s">
        <v>14</v>
      </c>
      <c r="I2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35" s="90" t="s">
        <v>8656</v>
      </c>
    </row>
    <row r="236" spans="1:11">
      <c r="A236" s="90" t="s">
        <v>6244</v>
      </c>
      <c r="B236" s="90" t="s">
        <v>6245</v>
      </c>
      <c r="C236" s="90" t="s">
        <v>6</v>
      </c>
      <c r="D236" s="90" t="str">
        <f>VLOOKUP(Tabela1[[#This Row],[Origem]],'Perguntas 1 a 24'!$J$28:$K$34,2,FALSE)</f>
        <v>Nordeste</v>
      </c>
      <c r="E236" s="90" t="s">
        <v>11575</v>
      </c>
      <c r="F236" s="91">
        <v>45582</v>
      </c>
      <c r="G236" s="92">
        <v>67677</v>
      </c>
      <c r="H236" s="90" t="s">
        <v>7</v>
      </c>
      <c r="I2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36" s="90" t="s">
        <v>6245</v>
      </c>
    </row>
    <row r="237" spans="1:11">
      <c r="A237" s="90" t="s">
        <v>8296</v>
      </c>
      <c r="B237" s="90" t="s">
        <v>8297</v>
      </c>
      <c r="C237" s="90" t="s">
        <v>8</v>
      </c>
      <c r="D237" s="90" t="str">
        <f>VLOOKUP(Tabela1[[#This Row],[Origem]],'Perguntas 1 a 24'!$J$28:$K$34,2,FALSE)</f>
        <v>Nordeste</v>
      </c>
      <c r="E237" s="90" t="s">
        <v>11576</v>
      </c>
      <c r="F237" s="91">
        <v>45582</v>
      </c>
      <c r="G237" s="92">
        <v>21235</v>
      </c>
      <c r="H237" s="90" t="s">
        <v>11</v>
      </c>
      <c r="I2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37" s="90" t="s">
        <v>8297</v>
      </c>
    </row>
    <row r="238" spans="1:11">
      <c r="A238" s="90" t="s">
        <v>9083</v>
      </c>
      <c r="B238" s="90" t="s">
        <v>9084</v>
      </c>
      <c r="C238" s="90" t="s">
        <v>13</v>
      </c>
      <c r="D238" s="90" t="str">
        <f>VLOOKUP(Tabela1[[#This Row],[Origem]],'Perguntas 1 a 24'!$J$28:$K$34,2,FALSE)</f>
        <v>Sudeste</v>
      </c>
      <c r="E238" s="90" t="s">
        <v>11577</v>
      </c>
      <c r="F238" s="91">
        <v>45582</v>
      </c>
      <c r="G238" s="92">
        <v>62428</v>
      </c>
      <c r="H238" s="90" t="s">
        <v>14</v>
      </c>
      <c r="I2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38" s="90" t="s">
        <v>9084</v>
      </c>
    </row>
    <row r="239" spans="1:11">
      <c r="A239" s="90" t="s">
        <v>10761</v>
      </c>
      <c r="B239" s="90" t="s">
        <v>10762</v>
      </c>
      <c r="C239" s="90" t="s">
        <v>16</v>
      </c>
      <c r="D239" s="90" t="str">
        <f>VLOOKUP(Tabela1[[#This Row],[Origem]],'Perguntas 1 a 24'!$J$28:$K$34,2,FALSE)</f>
        <v>Sudeste</v>
      </c>
      <c r="E239" s="90" t="s">
        <v>11578</v>
      </c>
      <c r="F239" s="91">
        <v>45582</v>
      </c>
      <c r="G239" s="92">
        <v>37853</v>
      </c>
      <c r="H239" s="90" t="s">
        <v>11</v>
      </c>
      <c r="I2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39" s="90" t="s">
        <v>10762</v>
      </c>
    </row>
    <row r="240" spans="1:11">
      <c r="A240" s="90" t="s">
        <v>3669</v>
      </c>
      <c r="B240" s="90" t="s">
        <v>3670</v>
      </c>
      <c r="C240" s="90" t="s">
        <v>12</v>
      </c>
      <c r="D240" s="90" t="str">
        <f>VLOOKUP(Tabela1[[#This Row],[Origem]],'Perguntas 1 a 24'!$J$28:$K$34,2,FALSE)</f>
        <v>Sudeste</v>
      </c>
      <c r="E240" s="90" t="s">
        <v>11579</v>
      </c>
      <c r="F240" s="91">
        <v>45583</v>
      </c>
      <c r="G240" s="92">
        <v>81898</v>
      </c>
      <c r="H240" s="90" t="s">
        <v>11</v>
      </c>
      <c r="I2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40" s="90" t="s">
        <v>3670</v>
      </c>
    </row>
    <row r="241" spans="1:11">
      <c r="A241" s="90" t="s">
        <v>7004</v>
      </c>
      <c r="B241" s="90" t="s">
        <v>7005</v>
      </c>
      <c r="C241" s="90" t="s">
        <v>16</v>
      </c>
      <c r="D241" s="90" t="str">
        <f>VLOOKUP(Tabela1[[#This Row],[Origem]],'Perguntas 1 a 24'!$J$28:$K$34,2,FALSE)</f>
        <v>Sudeste</v>
      </c>
      <c r="E241" s="90" t="s">
        <v>11580</v>
      </c>
      <c r="F241" s="91">
        <v>45583</v>
      </c>
      <c r="G241" s="92">
        <v>109871</v>
      </c>
      <c r="H241" s="90" t="s">
        <v>11</v>
      </c>
      <c r="I2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41" s="90" t="s">
        <v>7005</v>
      </c>
    </row>
    <row r="242" spans="1:11">
      <c r="A242" s="90" t="s">
        <v>8845</v>
      </c>
      <c r="B242" s="90" t="s">
        <v>8846</v>
      </c>
      <c r="C242" s="90" t="s">
        <v>12</v>
      </c>
      <c r="D242" s="90" t="str">
        <f>VLOOKUP(Tabela1[[#This Row],[Origem]],'Perguntas 1 a 24'!$J$28:$K$34,2,FALSE)</f>
        <v>Sudeste</v>
      </c>
      <c r="E242" s="90" t="s">
        <v>11581</v>
      </c>
      <c r="F242" s="91">
        <v>45583</v>
      </c>
      <c r="G242" s="92">
        <v>83592</v>
      </c>
      <c r="H242" s="90" t="s">
        <v>11</v>
      </c>
      <c r="I2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42" s="90" t="s">
        <v>8846</v>
      </c>
    </row>
    <row r="243" spans="1:11">
      <c r="A243" s="90" t="s">
        <v>8092</v>
      </c>
      <c r="B243" s="90" t="s">
        <v>8093</v>
      </c>
      <c r="C243" s="90" t="s">
        <v>15</v>
      </c>
      <c r="D243" s="90" t="str">
        <f>VLOOKUP(Tabela1[[#This Row],[Origem]],'Perguntas 1 a 24'!$J$28:$K$34,2,FALSE)</f>
        <v>Sudeste</v>
      </c>
      <c r="E243" s="90" t="s">
        <v>11582</v>
      </c>
      <c r="F243" s="91">
        <v>45584</v>
      </c>
      <c r="G243" s="92">
        <v>70786</v>
      </c>
      <c r="H243" s="90" t="s">
        <v>14</v>
      </c>
      <c r="I2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43" s="90" t="s">
        <v>8093</v>
      </c>
    </row>
    <row r="244" spans="1:11">
      <c r="A244" s="90" t="s">
        <v>4738</v>
      </c>
      <c r="B244" s="90" t="s">
        <v>4739</v>
      </c>
      <c r="C244" s="90" t="s">
        <v>6</v>
      </c>
      <c r="D244" s="90" t="str">
        <f>VLOOKUP(Tabela1[[#This Row],[Origem]],'Perguntas 1 a 24'!$J$28:$K$34,2,FALSE)</f>
        <v>Nordeste</v>
      </c>
      <c r="E244" s="90" t="s">
        <v>11583</v>
      </c>
      <c r="F244" s="91">
        <v>45585</v>
      </c>
      <c r="G244" s="92">
        <v>40718</v>
      </c>
      <c r="H244" s="90" t="s">
        <v>7</v>
      </c>
      <c r="I2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44" s="90" t="s">
        <v>4739</v>
      </c>
    </row>
    <row r="245" spans="1:11">
      <c r="A245" s="90" t="s">
        <v>7984</v>
      </c>
      <c r="B245" s="90" t="s">
        <v>7985</v>
      </c>
      <c r="C245" s="90" t="s">
        <v>8</v>
      </c>
      <c r="D245" s="90" t="str">
        <f>VLOOKUP(Tabela1[[#This Row],[Origem]],'Perguntas 1 a 24'!$J$28:$K$34,2,FALSE)</f>
        <v>Nordeste</v>
      </c>
      <c r="E245" s="90" t="s">
        <v>11584</v>
      </c>
      <c r="F245" s="91">
        <v>45585</v>
      </c>
      <c r="G245" s="92">
        <v>40016</v>
      </c>
      <c r="H245" s="90" t="s">
        <v>7</v>
      </c>
      <c r="I2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45" s="90" t="s">
        <v>7985</v>
      </c>
    </row>
    <row r="246" spans="1:11">
      <c r="A246" s="90" t="s">
        <v>10795</v>
      </c>
      <c r="B246" s="90" t="s">
        <v>10796</v>
      </c>
      <c r="C246" s="90" t="s">
        <v>10</v>
      </c>
      <c r="D246" s="90" t="str">
        <f>VLOOKUP(Tabela1[[#This Row],[Origem]],'Perguntas 1 a 24'!$J$28:$K$34,2,FALSE)</f>
        <v>Centro-Oeste</v>
      </c>
      <c r="E246" s="90" t="s">
        <v>11585</v>
      </c>
      <c r="F246" s="91">
        <v>45586</v>
      </c>
      <c r="G246" s="92">
        <v>27636</v>
      </c>
      <c r="H246" s="90" t="s">
        <v>7</v>
      </c>
      <c r="I2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46" s="90" t="s">
        <v>10796</v>
      </c>
    </row>
    <row r="247" spans="1:11">
      <c r="A247" s="90" t="s">
        <v>9797</v>
      </c>
      <c r="B247" s="90" t="s">
        <v>9798</v>
      </c>
      <c r="C247" s="90" t="s">
        <v>16</v>
      </c>
      <c r="D247" s="90" t="str">
        <f>VLOOKUP(Tabela1[[#This Row],[Origem]],'Perguntas 1 a 24'!$J$28:$K$34,2,FALSE)</f>
        <v>Sudeste</v>
      </c>
      <c r="E247" s="90" t="s">
        <v>11586</v>
      </c>
      <c r="F247" s="91">
        <v>45587</v>
      </c>
      <c r="G247" s="92">
        <v>57965</v>
      </c>
      <c r="H247" s="90" t="s">
        <v>14</v>
      </c>
      <c r="I2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47" s="90" t="s">
        <v>9798</v>
      </c>
    </row>
    <row r="248" spans="1:11">
      <c r="A248" s="90" t="s">
        <v>6242</v>
      </c>
      <c r="B248" s="90" t="s">
        <v>6243</v>
      </c>
      <c r="C248" s="90" t="s">
        <v>15</v>
      </c>
      <c r="D248" s="90" t="str">
        <f>VLOOKUP(Tabela1[[#This Row],[Origem]],'Perguntas 1 a 24'!$J$28:$K$34,2,FALSE)</f>
        <v>Sudeste</v>
      </c>
      <c r="E248" s="90" t="s">
        <v>11587</v>
      </c>
      <c r="F248" s="91">
        <v>45588</v>
      </c>
      <c r="G248" s="92">
        <v>96216</v>
      </c>
      <c r="H248" s="90" t="s">
        <v>11</v>
      </c>
      <c r="I2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48" s="90" t="s">
        <v>6243</v>
      </c>
    </row>
    <row r="249" spans="1:11">
      <c r="A249" s="90" t="s">
        <v>6600</v>
      </c>
      <c r="B249" s="90" t="s">
        <v>6601</v>
      </c>
      <c r="C249" s="90" t="s">
        <v>15</v>
      </c>
      <c r="D249" s="90" t="str">
        <f>VLOOKUP(Tabela1[[#This Row],[Origem]],'Perguntas 1 a 24'!$J$28:$K$34,2,FALSE)</f>
        <v>Sudeste</v>
      </c>
      <c r="E249" s="90" t="s">
        <v>11588</v>
      </c>
      <c r="F249" s="91">
        <v>45588</v>
      </c>
      <c r="G249" s="92">
        <v>95062</v>
      </c>
      <c r="H249" s="90" t="s">
        <v>9</v>
      </c>
      <c r="I2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49" s="90" t="s">
        <v>6601</v>
      </c>
    </row>
    <row r="250" spans="1:11">
      <c r="A250" s="90" t="s">
        <v>9811</v>
      </c>
      <c r="B250" s="90" t="s">
        <v>9812</v>
      </c>
      <c r="C250" s="90" t="s">
        <v>13</v>
      </c>
      <c r="D250" s="90" t="str">
        <f>VLOOKUP(Tabela1[[#This Row],[Origem]],'Perguntas 1 a 24'!$J$28:$K$34,2,FALSE)</f>
        <v>Sudeste</v>
      </c>
      <c r="E250" s="90" t="s">
        <v>11589</v>
      </c>
      <c r="F250" s="91">
        <v>45588</v>
      </c>
      <c r="G250" s="92">
        <v>104533</v>
      </c>
      <c r="H250" s="90" t="s">
        <v>11</v>
      </c>
      <c r="I2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50" s="90" t="s">
        <v>9812</v>
      </c>
    </row>
    <row r="251" spans="1:11">
      <c r="A251" s="90" t="s">
        <v>9837</v>
      </c>
      <c r="B251" s="90" t="s">
        <v>9838</v>
      </c>
      <c r="C251" s="90" t="s">
        <v>8</v>
      </c>
      <c r="D251" s="90" t="str">
        <f>VLOOKUP(Tabela1[[#This Row],[Origem]],'Perguntas 1 a 24'!$J$28:$K$34,2,FALSE)</f>
        <v>Nordeste</v>
      </c>
      <c r="E251" s="90" t="s">
        <v>11590</v>
      </c>
      <c r="F251" s="91">
        <v>45588</v>
      </c>
      <c r="G251" s="92">
        <v>69952</v>
      </c>
      <c r="H251" s="90" t="s">
        <v>9</v>
      </c>
      <c r="I2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51" s="90" t="s">
        <v>9838</v>
      </c>
    </row>
    <row r="252" spans="1:11">
      <c r="A252" s="90" t="s">
        <v>9019</v>
      </c>
      <c r="B252" s="90" t="s">
        <v>9020</v>
      </c>
      <c r="C252" s="90" t="s">
        <v>12</v>
      </c>
      <c r="D252" s="90" t="str">
        <f>VLOOKUP(Tabela1[[#This Row],[Origem]],'Perguntas 1 a 24'!$J$28:$K$34,2,FALSE)</f>
        <v>Sudeste</v>
      </c>
      <c r="E252" s="90" t="s">
        <v>11591</v>
      </c>
      <c r="F252" s="91">
        <v>45589</v>
      </c>
      <c r="G252" s="92">
        <v>67168</v>
      </c>
      <c r="H252" s="90" t="s">
        <v>14</v>
      </c>
      <c r="I2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52" s="90" t="s">
        <v>9020</v>
      </c>
    </row>
    <row r="253" spans="1:11">
      <c r="A253" s="90" t="s">
        <v>6210</v>
      </c>
      <c r="B253" s="90" t="s">
        <v>6211</v>
      </c>
      <c r="C253" s="90" t="s">
        <v>12</v>
      </c>
      <c r="D253" s="90" t="str">
        <f>VLOOKUP(Tabela1[[#This Row],[Origem]],'Perguntas 1 a 24'!$J$28:$K$34,2,FALSE)</f>
        <v>Sudeste</v>
      </c>
      <c r="E253" s="90" t="s">
        <v>11592</v>
      </c>
      <c r="F253" s="91">
        <v>45590</v>
      </c>
      <c r="G253" s="92">
        <v>117746</v>
      </c>
      <c r="H253" s="90" t="s">
        <v>14</v>
      </c>
      <c r="I2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53" s="90" t="s">
        <v>6211</v>
      </c>
    </row>
    <row r="254" spans="1:11">
      <c r="A254" s="90" t="s">
        <v>3687</v>
      </c>
      <c r="B254" s="90" t="s">
        <v>3688</v>
      </c>
      <c r="C254" s="90" t="s">
        <v>13</v>
      </c>
      <c r="D254" s="90" t="str">
        <f>VLOOKUP(Tabela1[[#This Row],[Origem]],'Perguntas 1 a 24'!$J$28:$K$34,2,FALSE)</f>
        <v>Sudeste</v>
      </c>
      <c r="E254" s="90" t="s">
        <v>11593</v>
      </c>
      <c r="F254" s="91">
        <v>45591</v>
      </c>
      <c r="G254" s="92">
        <v>57949</v>
      </c>
      <c r="H254" s="90" t="s">
        <v>11</v>
      </c>
      <c r="I2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54" s="90" t="s">
        <v>3688</v>
      </c>
    </row>
    <row r="255" spans="1:11">
      <c r="A255" s="90" t="s">
        <v>3878</v>
      </c>
      <c r="B255" s="90" t="s">
        <v>3879</v>
      </c>
      <c r="C255" s="90" t="s">
        <v>13</v>
      </c>
      <c r="D255" s="90" t="str">
        <f>VLOOKUP(Tabela1[[#This Row],[Origem]],'Perguntas 1 a 24'!$J$28:$K$34,2,FALSE)</f>
        <v>Sudeste</v>
      </c>
      <c r="E255" s="90" t="s">
        <v>11594</v>
      </c>
      <c r="F255" s="91">
        <v>45591</v>
      </c>
      <c r="G255" s="92">
        <v>45223</v>
      </c>
      <c r="H255" s="90" t="s">
        <v>14</v>
      </c>
      <c r="I2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55" s="90" t="s">
        <v>3879</v>
      </c>
    </row>
    <row r="256" spans="1:11">
      <c r="A256" s="90" t="s">
        <v>6950</v>
      </c>
      <c r="B256" s="90" t="s">
        <v>6951</v>
      </c>
      <c r="C256" s="90" t="s">
        <v>8</v>
      </c>
      <c r="D256" s="90" t="str">
        <f>VLOOKUP(Tabela1[[#This Row],[Origem]],'Perguntas 1 a 24'!$J$28:$K$34,2,FALSE)</f>
        <v>Nordeste</v>
      </c>
      <c r="E256" s="90" t="s">
        <v>11595</v>
      </c>
      <c r="F256" s="91">
        <v>45592</v>
      </c>
      <c r="G256" s="92">
        <v>92811</v>
      </c>
      <c r="H256" s="90" t="s">
        <v>14</v>
      </c>
      <c r="I2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56" s="90" t="s">
        <v>6951</v>
      </c>
    </row>
    <row r="257" spans="1:11">
      <c r="A257" s="90" t="s">
        <v>9267</v>
      </c>
      <c r="B257" s="90" t="s">
        <v>9268</v>
      </c>
      <c r="C257" s="90" t="s">
        <v>10</v>
      </c>
      <c r="D257" s="90" t="str">
        <f>VLOOKUP(Tabela1[[#This Row],[Origem]],'Perguntas 1 a 24'!$J$28:$K$34,2,FALSE)</f>
        <v>Centro-Oeste</v>
      </c>
      <c r="E257" s="90" t="s">
        <v>11596</v>
      </c>
      <c r="F257" s="91">
        <v>45593</v>
      </c>
      <c r="G257" s="92">
        <v>99211</v>
      </c>
      <c r="H257" s="90" t="s">
        <v>11</v>
      </c>
      <c r="I2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57" s="90" t="s">
        <v>9268</v>
      </c>
    </row>
    <row r="258" spans="1:11">
      <c r="A258" s="90" t="s">
        <v>7170</v>
      </c>
      <c r="B258" s="90" t="s">
        <v>7171</v>
      </c>
      <c r="C258" s="90" t="s">
        <v>6</v>
      </c>
      <c r="D258" s="90" t="str">
        <f>VLOOKUP(Tabela1[[#This Row],[Origem]],'Perguntas 1 a 24'!$J$28:$K$34,2,FALSE)</f>
        <v>Nordeste</v>
      </c>
      <c r="E258" s="90" t="s">
        <v>11597</v>
      </c>
      <c r="F258" s="91">
        <v>45594</v>
      </c>
      <c r="G258" s="92">
        <v>49029</v>
      </c>
      <c r="H258" s="90" t="s">
        <v>9</v>
      </c>
      <c r="I2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58" s="90" t="s">
        <v>7171</v>
      </c>
    </row>
    <row r="259" spans="1:11">
      <c r="A259" s="90" t="s">
        <v>9941</v>
      </c>
      <c r="B259" s="90" t="s">
        <v>9942</v>
      </c>
      <c r="C259" s="90" t="s">
        <v>6</v>
      </c>
      <c r="D259" s="90" t="str">
        <f>VLOOKUP(Tabela1[[#This Row],[Origem]],'Perguntas 1 a 24'!$J$28:$K$34,2,FALSE)</f>
        <v>Nordeste</v>
      </c>
      <c r="E259" s="90" t="s">
        <v>11598</v>
      </c>
      <c r="F259" s="91">
        <v>45594</v>
      </c>
      <c r="G259" s="92">
        <v>23572</v>
      </c>
      <c r="H259" s="90" t="s">
        <v>11</v>
      </c>
      <c r="I2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59" s="90" t="s">
        <v>9942</v>
      </c>
    </row>
    <row r="260" spans="1:11">
      <c r="A260" s="90" t="s">
        <v>5114</v>
      </c>
      <c r="B260" s="90" t="s">
        <v>5115</v>
      </c>
      <c r="C260" s="90" t="s">
        <v>12</v>
      </c>
      <c r="D260" s="90" t="str">
        <f>VLOOKUP(Tabela1[[#This Row],[Origem]],'Perguntas 1 a 24'!$J$28:$K$34,2,FALSE)</f>
        <v>Sudeste</v>
      </c>
      <c r="E260" s="90" t="s">
        <v>11599</v>
      </c>
      <c r="F260" s="91">
        <v>45596</v>
      </c>
      <c r="G260" s="92">
        <v>43312</v>
      </c>
      <c r="H260" s="90" t="s">
        <v>9</v>
      </c>
      <c r="I2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60" s="90" t="s">
        <v>5115</v>
      </c>
    </row>
    <row r="261" spans="1:11">
      <c r="A261" s="90" t="s">
        <v>8609</v>
      </c>
      <c r="B261" s="90" t="s">
        <v>8610</v>
      </c>
      <c r="C261" s="90" t="s">
        <v>6</v>
      </c>
      <c r="D261" s="90" t="str">
        <f>VLOOKUP(Tabela1[[#This Row],[Origem]],'Perguntas 1 a 24'!$J$28:$K$34,2,FALSE)</f>
        <v>Nordeste</v>
      </c>
      <c r="E261" s="90" t="s">
        <v>11600</v>
      </c>
      <c r="F261" s="91">
        <v>45596</v>
      </c>
      <c r="G261" s="92">
        <v>95957</v>
      </c>
      <c r="H261" s="90" t="s">
        <v>14</v>
      </c>
      <c r="I2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61" s="90" t="s">
        <v>8610</v>
      </c>
    </row>
    <row r="262" spans="1:11">
      <c r="A262" s="90" t="s">
        <v>11233</v>
      </c>
      <c r="B262" s="90" t="s">
        <v>11234</v>
      </c>
      <c r="C262" s="90" t="s">
        <v>8</v>
      </c>
      <c r="D262" s="90" t="str">
        <f>VLOOKUP(Tabela1[[#This Row],[Origem]],'Perguntas 1 a 24'!$J$28:$K$34,2,FALSE)</f>
        <v>Nordeste</v>
      </c>
      <c r="E262" s="90" t="s">
        <v>11601</v>
      </c>
      <c r="F262" s="91">
        <v>45596</v>
      </c>
      <c r="G262" s="92">
        <v>48137</v>
      </c>
      <c r="H262" s="90" t="s">
        <v>14</v>
      </c>
      <c r="I2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62" s="90" t="s">
        <v>11234</v>
      </c>
    </row>
    <row r="263" spans="1:11">
      <c r="A263" s="90" t="s">
        <v>3968</v>
      </c>
      <c r="B263" s="90" t="s">
        <v>3969</v>
      </c>
      <c r="C263" s="90" t="s">
        <v>8</v>
      </c>
      <c r="D263" s="90" t="str">
        <f>VLOOKUP(Tabela1[[#This Row],[Origem]],'Perguntas 1 a 24'!$J$28:$K$34,2,FALSE)</f>
        <v>Nordeste</v>
      </c>
      <c r="E263" s="90" t="s">
        <v>11602</v>
      </c>
      <c r="F263" s="91">
        <v>45597</v>
      </c>
      <c r="G263" s="92">
        <v>92135</v>
      </c>
      <c r="H263" s="90" t="s">
        <v>11</v>
      </c>
      <c r="I2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63" s="90" t="s">
        <v>3969</v>
      </c>
    </row>
    <row r="264" spans="1:11">
      <c r="A264" s="90" t="s">
        <v>6216</v>
      </c>
      <c r="B264" s="90" t="s">
        <v>6217</v>
      </c>
      <c r="C264" s="90" t="s">
        <v>10</v>
      </c>
      <c r="D264" s="90" t="str">
        <f>VLOOKUP(Tabela1[[#This Row],[Origem]],'Perguntas 1 a 24'!$J$28:$K$34,2,FALSE)</f>
        <v>Centro-Oeste</v>
      </c>
      <c r="E264" s="90" t="s">
        <v>11603</v>
      </c>
      <c r="F264" s="91">
        <v>45597</v>
      </c>
      <c r="G264" s="92">
        <v>57990</v>
      </c>
      <c r="H264" s="90" t="s">
        <v>9</v>
      </c>
      <c r="I2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64" s="90" t="s">
        <v>6217</v>
      </c>
    </row>
    <row r="265" spans="1:11">
      <c r="A265" s="90" t="s">
        <v>7132</v>
      </c>
      <c r="B265" s="90" t="s">
        <v>7133</v>
      </c>
      <c r="C265" s="90" t="s">
        <v>6</v>
      </c>
      <c r="D265" s="90" t="str">
        <f>VLOOKUP(Tabela1[[#This Row],[Origem]],'Perguntas 1 a 24'!$J$28:$K$34,2,FALSE)</f>
        <v>Nordeste</v>
      </c>
      <c r="E265" s="90" t="s">
        <v>11604</v>
      </c>
      <c r="F265" s="91">
        <v>45597</v>
      </c>
      <c r="G265" s="92">
        <v>86768</v>
      </c>
      <c r="H265" s="90" t="s">
        <v>14</v>
      </c>
      <c r="I2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65" s="90" t="s">
        <v>7133</v>
      </c>
    </row>
    <row r="266" spans="1:11">
      <c r="A266" s="90" t="s">
        <v>7182</v>
      </c>
      <c r="B266" s="90" t="s">
        <v>7183</v>
      </c>
      <c r="C266" s="90" t="s">
        <v>10</v>
      </c>
      <c r="D266" s="90" t="str">
        <f>VLOOKUP(Tabela1[[#This Row],[Origem]],'Perguntas 1 a 24'!$J$28:$K$34,2,FALSE)</f>
        <v>Centro-Oeste</v>
      </c>
      <c r="E266" s="90" t="s">
        <v>11605</v>
      </c>
      <c r="F266" s="91">
        <v>45597</v>
      </c>
      <c r="G266" s="92">
        <v>42683</v>
      </c>
      <c r="H266" s="90" t="s">
        <v>7</v>
      </c>
      <c r="I2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66" s="90" t="s">
        <v>7183</v>
      </c>
    </row>
    <row r="267" spans="1:11">
      <c r="A267" s="90" t="s">
        <v>7600</v>
      </c>
      <c r="B267" s="90" t="s">
        <v>7601</v>
      </c>
      <c r="C267" s="90" t="s">
        <v>8</v>
      </c>
      <c r="D267" s="90" t="str">
        <f>VLOOKUP(Tabela1[[#This Row],[Origem]],'Perguntas 1 a 24'!$J$28:$K$34,2,FALSE)</f>
        <v>Nordeste</v>
      </c>
      <c r="E267" s="90" t="s">
        <v>11606</v>
      </c>
      <c r="F267" s="91">
        <v>45597</v>
      </c>
      <c r="G267" s="92">
        <v>51462</v>
      </c>
      <c r="H267" s="90" t="s">
        <v>9</v>
      </c>
      <c r="I2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67" s="90" t="s">
        <v>7601</v>
      </c>
    </row>
    <row r="268" spans="1:11">
      <c r="A268" s="90" t="s">
        <v>10994</v>
      </c>
      <c r="B268" s="90" t="s">
        <v>10995</v>
      </c>
      <c r="C268" s="90" t="s">
        <v>16</v>
      </c>
      <c r="D268" s="90" t="str">
        <f>VLOOKUP(Tabela1[[#This Row],[Origem]],'Perguntas 1 a 24'!$J$28:$K$34,2,FALSE)</f>
        <v>Sudeste</v>
      </c>
      <c r="E268" s="90" t="s">
        <v>11607</v>
      </c>
      <c r="F268" s="91">
        <v>45597</v>
      </c>
      <c r="G268" s="92">
        <v>64094</v>
      </c>
      <c r="H268" s="90" t="s">
        <v>7</v>
      </c>
      <c r="I2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68" s="90" t="s">
        <v>10995</v>
      </c>
    </row>
    <row r="269" spans="1:11">
      <c r="A269" s="90" t="s">
        <v>11159</v>
      </c>
      <c r="B269" s="90" t="s">
        <v>11160</v>
      </c>
      <c r="C269" s="90" t="s">
        <v>10</v>
      </c>
      <c r="D269" s="90" t="str">
        <f>VLOOKUP(Tabela1[[#This Row],[Origem]],'Perguntas 1 a 24'!$J$28:$K$34,2,FALSE)</f>
        <v>Centro-Oeste</v>
      </c>
      <c r="E269" s="90" t="s">
        <v>11608</v>
      </c>
      <c r="F269" s="91">
        <v>45600</v>
      </c>
      <c r="G269" s="92">
        <v>65887</v>
      </c>
      <c r="H269" s="90" t="s">
        <v>11</v>
      </c>
      <c r="I2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69" s="90" t="s">
        <v>11160</v>
      </c>
    </row>
    <row r="270" spans="1:11">
      <c r="A270" s="90" t="s">
        <v>4022</v>
      </c>
      <c r="B270" s="90" t="s">
        <v>4023</v>
      </c>
      <c r="C270" s="90" t="s">
        <v>12</v>
      </c>
      <c r="D270" s="90" t="str">
        <f>VLOOKUP(Tabela1[[#This Row],[Origem]],'Perguntas 1 a 24'!$J$28:$K$34,2,FALSE)</f>
        <v>Sudeste</v>
      </c>
      <c r="E270" s="90" t="s">
        <v>11609</v>
      </c>
      <c r="F270" s="91">
        <v>45601</v>
      </c>
      <c r="G270" s="92">
        <v>83213</v>
      </c>
      <c r="H270" s="90" t="s">
        <v>7</v>
      </c>
      <c r="I2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0" s="90" t="s">
        <v>4023</v>
      </c>
    </row>
    <row r="271" spans="1:11">
      <c r="A271" s="90" t="s">
        <v>4393</v>
      </c>
      <c r="B271" s="90" t="s">
        <v>4394</v>
      </c>
      <c r="C271" s="90" t="s">
        <v>10</v>
      </c>
      <c r="D271" s="90" t="str">
        <f>VLOOKUP(Tabela1[[#This Row],[Origem]],'Perguntas 1 a 24'!$J$28:$K$34,2,FALSE)</f>
        <v>Centro-Oeste</v>
      </c>
      <c r="E271" s="90" t="s">
        <v>11610</v>
      </c>
      <c r="F271" s="91">
        <v>45601</v>
      </c>
      <c r="G271" s="92">
        <v>114935</v>
      </c>
      <c r="H271" s="90" t="s">
        <v>14</v>
      </c>
      <c r="I2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1" s="90" t="s">
        <v>4394</v>
      </c>
    </row>
    <row r="272" spans="1:11">
      <c r="A272" s="90" t="s">
        <v>4586</v>
      </c>
      <c r="B272" s="90" t="s">
        <v>4587</v>
      </c>
      <c r="C272" s="90" t="s">
        <v>6</v>
      </c>
      <c r="D272" s="90" t="str">
        <f>VLOOKUP(Tabela1[[#This Row],[Origem]],'Perguntas 1 a 24'!$J$28:$K$34,2,FALSE)</f>
        <v>Nordeste</v>
      </c>
      <c r="E272" s="90" t="s">
        <v>11611</v>
      </c>
      <c r="F272" s="91">
        <v>45601</v>
      </c>
      <c r="G272" s="92">
        <v>99552</v>
      </c>
      <c r="H272" s="90" t="s">
        <v>14</v>
      </c>
      <c r="I2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2" s="90" t="s">
        <v>4587</v>
      </c>
    </row>
    <row r="273" spans="1:11">
      <c r="A273" s="90" t="s">
        <v>7528</v>
      </c>
      <c r="B273" s="90" t="s">
        <v>7529</v>
      </c>
      <c r="C273" s="90" t="s">
        <v>10</v>
      </c>
      <c r="D273" s="90" t="str">
        <f>VLOOKUP(Tabela1[[#This Row],[Origem]],'Perguntas 1 a 24'!$J$28:$K$34,2,FALSE)</f>
        <v>Centro-Oeste</v>
      </c>
      <c r="E273" s="90" t="s">
        <v>11612</v>
      </c>
      <c r="F273" s="91">
        <v>45601</v>
      </c>
      <c r="G273" s="92">
        <v>94578</v>
      </c>
      <c r="H273" s="90" t="s">
        <v>9</v>
      </c>
      <c r="I2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3" s="90" t="s">
        <v>7529</v>
      </c>
    </row>
    <row r="274" spans="1:11">
      <c r="A274" s="90" t="s">
        <v>9929</v>
      </c>
      <c r="B274" s="90" t="s">
        <v>9930</v>
      </c>
      <c r="C274" s="90" t="s">
        <v>6</v>
      </c>
      <c r="D274" s="90" t="str">
        <f>VLOOKUP(Tabela1[[#This Row],[Origem]],'Perguntas 1 a 24'!$J$28:$K$34,2,FALSE)</f>
        <v>Nordeste</v>
      </c>
      <c r="E274" s="90" t="s">
        <v>11613</v>
      </c>
      <c r="F274" s="91">
        <v>45601</v>
      </c>
      <c r="G274" s="92">
        <v>40058</v>
      </c>
      <c r="H274" s="90" t="s">
        <v>14</v>
      </c>
      <c r="I2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74" s="90" t="s">
        <v>9930</v>
      </c>
    </row>
    <row r="275" spans="1:11">
      <c r="A275" s="90" t="s">
        <v>10453</v>
      </c>
      <c r="B275" s="90" t="s">
        <v>10454</v>
      </c>
      <c r="C275" s="90" t="s">
        <v>15</v>
      </c>
      <c r="D275" s="90" t="str">
        <f>VLOOKUP(Tabela1[[#This Row],[Origem]],'Perguntas 1 a 24'!$J$28:$K$34,2,FALSE)</f>
        <v>Sudeste</v>
      </c>
      <c r="E275" s="90" t="s">
        <v>11614</v>
      </c>
      <c r="F275" s="91">
        <v>45602</v>
      </c>
      <c r="G275" s="92">
        <v>22021</v>
      </c>
      <c r="H275" s="90" t="s">
        <v>7</v>
      </c>
      <c r="I2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75" s="90" t="s">
        <v>10454</v>
      </c>
    </row>
    <row r="276" spans="1:11">
      <c r="A276" s="90" t="s">
        <v>11315</v>
      </c>
      <c r="B276" s="90" t="s">
        <v>11316</v>
      </c>
      <c r="C276" s="90" t="s">
        <v>16</v>
      </c>
      <c r="D276" s="90" t="str">
        <f>VLOOKUP(Tabela1[[#This Row],[Origem]],'Perguntas 1 a 24'!$J$28:$K$34,2,FALSE)</f>
        <v>Sudeste</v>
      </c>
      <c r="E276" s="90" t="s">
        <v>11615</v>
      </c>
      <c r="F276" s="91">
        <v>45604</v>
      </c>
      <c r="G276" s="92">
        <v>100953</v>
      </c>
      <c r="H276" s="90" t="s">
        <v>7</v>
      </c>
      <c r="I2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6" s="90" t="s">
        <v>11316</v>
      </c>
    </row>
    <row r="277" spans="1:11">
      <c r="A277" s="90" t="s">
        <v>4235</v>
      </c>
      <c r="B277" s="90" t="s">
        <v>4236</v>
      </c>
      <c r="C277" s="90" t="s">
        <v>12</v>
      </c>
      <c r="D277" s="90" t="str">
        <f>VLOOKUP(Tabela1[[#This Row],[Origem]],'Perguntas 1 a 24'!$J$28:$K$34,2,FALSE)</f>
        <v>Sudeste</v>
      </c>
      <c r="E277" s="90" t="s">
        <v>11616</v>
      </c>
      <c r="F277" s="91">
        <v>45605</v>
      </c>
      <c r="G277" s="92">
        <v>95579</v>
      </c>
      <c r="H277" s="90" t="s">
        <v>14</v>
      </c>
      <c r="I2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7" s="90" t="s">
        <v>4236</v>
      </c>
    </row>
    <row r="278" spans="1:11">
      <c r="A278" s="90" t="s">
        <v>7230</v>
      </c>
      <c r="B278" s="90" t="s">
        <v>7231</v>
      </c>
      <c r="C278" s="90" t="s">
        <v>16</v>
      </c>
      <c r="D278" s="90" t="str">
        <f>VLOOKUP(Tabela1[[#This Row],[Origem]],'Perguntas 1 a 24'!$J$28:$K$34,2,FALSE)</f>
        <v>Sudeste</v>
      </c>
      <c r="E278" s="90" t="s">
        <v>11617</v>
      </c>
      <c r="F278" s="91">
        <v>45605</v>
      </c>
      <c r="G278" s="92">
        <v>65880</v>
      </c>
      <c r="H278" s="90" t="s">
        <v>14</v>
      </c>
      <c r="I2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8" s="90" t="s">
        <v>7231</v>
      </c>
    </row>
    <row r="279" spans="1:11">
      <c r="A279" s="90" t="s">
        <v>10087</v>
      </c>
      <c r="B279" s="90" t="s">
        <v>10088</v>
      </c>
      <c r="C279" s="90" t="s">
        <v>15</v>
      </c>
      <c r="D279" s="90" t="str">
        <f>VLOOKUP(Tabela1[[#This Row],[Origem]],'Perguntas 1 a 24'!$J$28:$K$34,2,FALSE)</f>
        <v>Sudeste</v>
      </c>
      <c r="E279" s="90" t="s">
        <v>11618</v>
      </c>
      <c r="F279" s="91">
        <v>45605</v>
      </c>
      <c r="G279" s="92">
        <v>56024</v>
      </c>
      <c r="H279" s="90" t="s">
        <v>11</v>
      </c>
      <c r="I2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79" s="90" t="s">
        <v>10088</v>
      </c>
    </row>
    <row r="280" spans="1:11">
      <c r="A280" s="90" t="s">
        <v>11237</v>
      </c>
      <c r="B280" s="90" t="s">
        <v>11238</v>
      </c>
      <c r="C280" s="90" t="s">
        <v>13</v>
      </c>
      <c r="D280" s="90" t="str">
        <f>VLOOKUP(Tabela1[[#This Row],[Origem]],'Perguntas 1 a 24'!$J$28:$K$34,2,FALSE)</f>
        <v>Sudeste</v>
      </c>
      <c r="E280" s="90" t="s">
        <v>11619</v>
      </c>
      <c r="F280" s="91">
        <v>45607</v>
      </c>
      <c r="G280" s="92">
        <v>116457</v>
      </c>
      <c r="H280" s="90" t="s">
        <v>7</v>
      </c>
      <c r="I2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0" s="90" t="s">
        <v>11238</v>
      </c>
    </row>
    <row r="281" spans="1:11">
      <c r="A281" s="90" t="s">
        <v>9313</v>
      </c>
      <c r="B281" s="90" t="s">
        <v>9314</v>
      </c>
      <c r="C281" s="90" t="s">
        <v>10</v>
      </c>
      <c r="D281" s="90" t="str">
        <f>VLOOKUP(Tabela1[[#This Row],[Origem]],'Perguntas 1 a 24'!$J$28:$K$34,2,FALSE)</f>
        <v>Centro-Oeste</v>
      </c>
      <c r="E281" s="90" t="s">
        <v>11620</v>
      </c>
      <c r="F281" s="91">
        <v>45608</v>
      </c>
      <c r="G281" s="92">
        <v>103068</v>
      </c>
      <c r="H281" s="90" t="s">
        <v>14</v>
      </c>
      <c r="I2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1" s="90" t="s">
        <v>9314</v>
      </c>
    </row>
    <row r="282" spans="1:11">
      <c r="A282" s="90" t="s">
        <v>9567</v>
      </c>
      <c r="B282" s="90" t="s">
        <v>9568</v>
      </c>
      <c r="C282" s="90" t="s">
        <v>6</v>
      </c>
      <c r="D282" s="90" t="str">
        <f>VLOOKUP(Tabela1[[#This Row],[Origem]],'Perguntas 1 a 24'!$J$28:$K$34,2,FALSE)</f>
        <v>Nordeste</v>
      </c>
      <c r="E282" s="90" t="s">
        <v>11621</v>
      </c>
      <c r="F282" s="91">
        <v>45608</v>
      </c>
      <c r="G282" s="92">
        <v>53367</v>
      </c>
      <c r="H282" s="90" t="s">
        <v>11</v>
      </c>
      <c r="I2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2" s="90" t="s">
        <v>9568</v>
      </c>
    </row>
    <row r="283" spans="1:11">
      <c r="A283" s="90" t="s">
        <v>4267</v>
      </c>
      <c r="B283" s="90" t="s">
        <v>4268</v>
      </c>
      <c r="C283" s="90" t="s">
        <v>10</v>
      </c>
      <c r="D283" s="90" t="str">
        <f>VLOOKUP(Tabela1[[#This Row],[Origem]],'Perguntas 1 a 24'!$J$28:$K$34,2,FALSE)</f>
        <v>Centro-Oeste</v>
      </c>
      <c r="E283" s="90" t="s">
        <v>11622</v>
      </c>
      <c r="F283" s="91">
        <v>45609</v>
      </c>
      <c r="G283" s="92">
        <v>60143</v>
      </c>
      <c r="H283" s="90" t="s">
        <v>11</v>
      </c>
      <c r="I2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3" s="90" t="s">
        <v>4268</v>
      </c>
    </row>
    <row r="284" spans="1:11">
      <c r="A284" s="90" t="s">
        <v>4425</v>
      </c>
      <c r="B284" s="90" t="s">
        <v>4426</v>
      </c>
      <c r="C284" s="90" t="s">
        <v>13</v>
      </c>
      <c r="D284" s="90" t="str">
        <f>VLOOKUP(Tabela1[[#This Row],[Origem]],'Perguntas 1 a 24'!$J$28:$K$34,2,FALSE)</f>
        <v>Sudeste</v>
      </c>
      <c r="E284" s="90" t="s">
        <v>11623</v>
      </c>
      <c r="F284" s="91">
        <v>45609</v>
      </c>
      <c r="G284" s="92">
        <v>36536</v>
      </c>
      <c r="H284" s="90" t="s">
        <v>7</v>
      </c>
      <c r="I2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84" s="90" t="s">
        <v>4426</v>
      </c>
    </row>
    <row r="285" spans="1:11">
      <c r="A285" s="90" t="s">
        <v>5760</v>
      </c>
      <c r="B285" s="90" t="s">
        <v>5761</v>
      </c>
      <c r="C285" s="90" t="s">
        <v>10</v>
      </c>
      <c r="D285" s="90" t="str">
        <f>VLOOKUP(Tabela1[[#This Row],[Origem]],'Perguntas 1 a 24'!$J$28:$K$34,2,FALSE)</f>
        <v>Centro-Oeste</v>
      </c>
      <c r="E285" s="90" t="s">
        <v>11624</v>
      </c>
      <c r="F285" s="91">
        <v>45609</v>
      </c>
      <c r="G285" s="92">
        <v>93464</v>
      </c>
      <c r="H285" s="90" t="s">
        <v>9</v>
      </c>
      <c r="I2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5" s="90" t="s">
        <v>5761</v>
      </c>
    </row>
    <row r="286" spans="1:11">
      <c r="A286" s="90" t="s">
        <v>6690</v>
      </c>
      <c r="B286" s="90" t="s">
        <v>6691</v>
      </c>
      <c r="C286" s="90" t="s">
        <v>10</v>
      </c>
      <c r="D286" s="90" t="str">
        <f>VLOOKUP(Tabela1[[#This Row],[Origem]],'Perguntas 1 a 24'!$J$28:$K$34,2,FALSE)</f>
        <v>Centro-Oeste</v>
      </c>
      <c r="E286" s="90" t="s">
        <v>11625</v>
      </c>
      <c r="F286" s="91">
        <v>45609</v>
      </c>
      <c r="G286" s="92">
        <v>76209</v>
      </c>
      <c r="H286" s="90" t="s">
        <v>7</v>
      </c>
      <c r="I2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6" s="90" t="s">
        <v>6691</v>
      </c>
    </row>
    <row r="287" spans="1:11">
      <c r="A287" s="90" t="s">
        <v>10419</v>
      </c>
      <c r="B287" s="90" t="s">
        <v>10420</v>
      </c>
      <c r="C287" s="90" t="s">
        <v>15</v>
      </c>
      <c r="D287" s="90" t="str">
        <f>VLOOKUP(Tabela1[[#This Row],[Origem]],'Perguntas 1 a 24'!$J$28:$K$34,2,FALSE)</f>
        <v>Sudeste</v>
      </c>
      <c r="E287" s="90" t="s">
        <v>11626</v>
      </c>
      <c r="F287" s="91">
        <v>45610</v>
      </c>
      <c r="G287" s="92">
        <v>49312</v>
      </c>
      <c r="H287" s="90" t="s">
        <v>11</v>
      </c>
      <c r="I2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87" s="90" t="s">
        <v>10420</v>
      </c>
    </row>
    <row r="288" spans="1:11">
      <c r="A288" s="90" t="s">
        <v>5868</v>
      </c>
      <c r="B288" s="90" t="s">
        <v>5869</v>
      </c>
      <c r="C288" s="90" t="s">
        <v>8</v>
      </c>
      <c r="D288" s="90" t="str">
        <f>VLOOKUP(Tabela1[[#This Row],[Origem]],'Perguntas 1 a 24'!$J$28:$K$34,2,FALSE)</f>
        <v>Nordeste</v>
      </c>
      <c r="E288" s="90" t="s">
        <v>11627</v>
      </c>
      <c r="F288" s="91">
        <v>45612</v>
      </c>
      <c r="G288" s="92">
        <v>115892</v>
      </c>
      <c r="H288" s="90" t="s">
        <v>9</v>
      </c>
      <c r="I2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8" s="90" t="s">
        <v>5869</v>
      </c>
    </row>
    <row r="289" spans="1:11">
      <c r="A289" s="90" t="s">
        <v>6028</v>
      </c>
      <c r="B289" s="90" t="s">
        <v>6029</v>
      </c>
      <c r="C289" s="90" t="s">
        <v>6</v>
      </c>
      <c r="D289" s="90" t="str">
        <f>VLOOKUP(Tabela1[[#This Row],[Origem]],'Perguntas 1 a 24'!$J$28:$K$34,2,FALSE)</f>
        <v>Nordeste</v>
      </c>
      <c r="E289" s="90" t="s">
        <v>11628</v>
      </c>
      <c r="F289" s="91">
        <v>45612</v>
      </c>
      <c r="G289" s="92">
        <v>104085</v>
      </c>
      <c r="H289" s="90" t="s">
        <v>11</v>
      </c>
      <c r="I2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89" s="90" t="s">
        <v>6029</v>
      </c>
    </row>
    <row r="290" spans="1:11">
      <c r="A290" s="90" t="s">
        <v>9659</v>
      </c>
      <c r="B290" s="90" t="s">
        <v>9660</v>
      </c>
      <c r="C290" s="90" t="s">
        <v>13</v>
      </c>
      <c r="D290" s="90" t="str">
        <f>VLOOKUP(Tabela1[[#This Row],[Origem]],'Perguntas 1 a 24'!$J$28:$K$34,2,FALSE)</f>
        <v>Sudeste</v>
      </c>
      <c r="E290" s="90" t="s">
        <v>11629</v>
      </c>
      <c r="F290" s="91">
        <v>45612</v>
      </c>
      <c r="G290" s="92">
        <v>86363</v>
      </c>
      <c r="H290" s="90" t="s">
        <v>14</v>
      </c>
      <c r="I2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90" s="90" t="s">
        <v>9660</v>
      </c>
    </row>
    <row r="291" spans="1:11">
      <c r="A291" s="90" t="s">
        <v>5660</v>
      </c>
      <c r="B291" s="90" t="s">
        <v>5661</v>
      </c>
      <c r="C291" s="90" t="s">
        <v>15</v>
      </c>
      <c r="D291" s="90" t="str">
        <f>VLOOKUP(Tabela1[[#This Row],[Origem]],'Perguntas 1 a 24'!$J$28:$K$34,2,FALSE)</f>
        <v>Sudeste</v>
      </c>
      <c r="E291" s="90" t="s">
        <v>11630</v>
      </c>
      <c r="F291" s="91">
        <v>45616</v>
      </c>
      <c r="G291" s="92">
        <v>24322</v>
      </c>
      <c r="H291" s="90" t="s">
        <v>14</v>
      </c>
      <c r="I2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91" s="90" t="s">
        <v>5661</v>
      </c>
    </row>
    <row r="292" spans="1:11">
      <c r="A292" s="90" t="s">
        <v>10949</v>
      </c>
      <c r="B292" s="90" t="s">
        <v>10950</v>
      </c>
      <c r="C292" s="90" t="s">
        <v>13</v>
      </c>
      <c r="D292" s="90" t="str">
        <f>VLOOKUP(Tabela1[[#This Row],[Origem]],'Perguntas 1 a 24'!$J$28:$K$34,2,FALSE)</f>
        <v>Sudeste</v>
      </c>
      <c r="E292" s="90" t="s">
        <v>11631</v>
      </c>
      <c r="F292" s="91">
        <v>45617</v>
      </c>
      <c r="G292" s="92">
        <v>26212</v>
      </c>
      <c r="H292" s="90" t="s">
        <v>7</v>
      </c>
      <c r="I2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92" s="90" t="s">
        <v>10950</v>
      </c>
    </row>
    <row r="293" spans="1:11">
      <c r="A293" s="90" t="s">
        <v>6654</v>
      </c>
      <c r="B293" s="90" t="s">
        <v>6655</v>
      </c>
      <c r="C293" s="90" t="s">
        <v>12</v>
      </c>
      <c r="D293" s="90" t="str">
        <f>VLOOKUP(Tabela1[[#This Row],[Origem]],'Perguntas 1 a 24'!$J$28:$K$34,2,FALSE)</f>
        <v>Sudeste</v>
      </c>
      <c r="E293" s="90" t="s">
        <v>11632</v>
      </c>
      <c r="F293" s="91">
        <v>45618</v>
      </c>
      <c r="G293" s="92">
        <v>55726</v>
      </c>
      <c r="H293" s="90" t="s">
        <v>9</v>
      </c>
      <c r="I2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93" s="90" t="s">
        <v>6655</v>
      </c>
    </row>
    <row r="294" spans="1:11">
      <c r="A294" s="90" t="s">
        <v>3675</v>
      </c>
      <c r="B294" s="90" t="s">
        <v>3676</v>
      </c>
      <c r="C294" s="90" t="s">
        <v>6</v>
      </c>
      <c r="D294" s="90" t="str">
        <f>VLOOKUP(Tabela1[[#This Row],[Origem]],'Perguntas 1 a 24'!$J$28:$K$34,2,FALSE)</f>
        <v>Nordeste</v>
      </c>
      <c r="E294" s="90" t="s">
        <v>11633</v>
      </c>
      <c r="F294" s="91">
        <v>45619</v>
      </c>
      <c r="G294" s="92">
        <v>84253</v>
      </c>
      <c r="H294" s="90" t="s">
        <v>7</v>
      </c>
      <c r="I2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94" s="90" t="s">
        <v>3676</v>
      </c>
    </row>
    <row r="295" spans="1:11">
      <c r="A295" s="90" t="s">
        <v>8324</v>
      </c>
      <c r="B295" s="90" t="s">
        <v>8325</v>
      </c>
      <c r="C295" s="90" t="s">
        <v>13</v>
      </c>
      <c r="D295" s="90" t="str">
        <f>VLOOKUP(Tabela1[[#This Row],[Origem]],'Perguntas 1 a 24'!$J$28:$K$34,2,FALSE)</f>
        <v>Sudeste</v>
      </c>
      <c r="E295" s="90" t="s">
        <v>11634</v>
      </c>
      <c r="F295" s="91">
        <v>45619</v>
      </c>
      <c r="G295" s="92">
        <v>72089</v>
      </c>
      <c r="H295" s="90" t="s">
        <v>9</v>
      </c>
      <c r="I2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95" s="90" t="s">
        <v>8325</v>
      </c>
    </row>
    <row r="296" spans="1:11">
      <c r="A296" s="90" t="s">
        <v>4064</v>
      </c>
      <c r="B296" s="90" t="s">
        <v>4065</v>
      </c>
      <c r="C296" s="90" t="s">
        <v>13</v>
      </c>
      <c r="D296" s="90" t="str">
        <f>VLOOKUP(Tabela1[[#This Row],[Origem]],'Perguntas 1 a 24'!$J$28:$K$34,2,FALSE)</f>
        <v>Sudeste</v>
      </c>
      <c r="E296" s="90" t="s">
        <v>11635</v>
      </c>
      <c r="F296" s="91">
        <v>45620</v>
      </c>
      <c r="G296" s="92">
        <v>39450</v>
      </c>
      <c r="H296" s="90" t="s">
        <v>14</v>
      </c>
      <c r="I2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96" s="90" t="s">
        <v>4065</v>
      </c>
    </row>
    <row r="297" spans="1:11">
      <c r="A297" s="90" t="s">
        <v>7520</v>
      </c>
      <c r="B297" s="90" t="s">
        <v>7521</v>
      </c>
      <c r="C297" s="90" t="s">
        <v>12</v>
      </c>
      <c r="D297" s="90" t="str">
        <f>VLOOKUP(Tabela1[[#This Row],[Origem]],'Perguntas 1 a 24'!$J$28:$K$34,2,FALSE)</f>
        <v>Sudeste</v>
      </c>
      <c r="E297" s="90" t="s">
        <v>11636</v>
      </c>
      <c r="F297" s="91">
        <v>45620</v>
      </c>
      <c r="G297" s="92">
        <v>22331</v>
      </c>
      <c r="H297" s="90" t="s">
        <v>7</v>
      </c>
      <c r="I2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97" s="90" t="s">
        <v>7521</v>
      </c>
    </row>
    <row r="298" spans="1:11">
      <c r="A298" s="90" t="s">
        <v>7700</v>
      </c>
      <c r="B298" s="90" t="s">
        <v>7701</v>
      </c>
      <c r="C298" s="90" t="s">
        <v>10</v>
      </c>
      <c r="D298" s="90" t="str">
        <f>VLOOKUP(Tabela1[[#This Row],[Origem]],'Perguntas 1 a 24'!$J$28:$K$34,2,FALSE)</f>
        <v>Centro-Oeste</v>
      </c>
      <c r="E298" s="90" t="s">
        <v>11637</v>
      </c>
      <c r="F298" s="91">
        <v>45620</v>
      </c>
      <c r="G298" s="92">
        <v>32345</v>
      </c>
      <c r="H298" s="90" t="s">
        <v>9</v>
      </c>
      <c r="I2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298" s="90" t="s">
        <v>7701</v>
      </c>
    </row>
    <row r="299" spans="1:11">
      <c r="A299" s="90" t="s">
        <v>9539</v>
      </c>
      <c r="B299" s="90" t="s">
        <v>9540</v>
      </c>
      <c r="C299" s="90" t="s">
        <v>8</v>
      </c>
      <c r="D299" s="90" t="str">
        <f>VLOOKUP(Tabela1[[#This Row],[Origem]],'Perguntas 1 a 24'!$J$28:$K$34,2,FALSE)</f>
        <v>Nordeste</v>
      </c>
      <c r="E299" s="90" t="s">
        <v>11638</v>
      </c>
      <c r="F299" s="91">
        <v>45620</v>
      </c>
      <c r="G299" s="92">
        <v>109731</v>
      </c>
      <c r="H299" s="90" t="s">
        <v>14</v>
      </c>
      <c r="I2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299" s="90" t="s">
        <v>9540</v>
      </c>
    </row>
    <row r="300" spans="1:11">
      <c r="A300" s="90" t="s">
        <v>4477</v>
      </c>
      <c r="B300" s="90" t="s">
        <v>4478</v>
      </c>
      <c r="C300" s="90" t="s">
        <v>16</v>
      </c>
      <c r="D300" s="90" t="str">
        <f>VLOOKUP(Tabela1[[#This Row],[Origem]],'Perguntas 1 a 24'!$J$28:$K$34,2,FALSE)</f>
        <v>Sudeste</v>
      </c>
      <c r="E300" s="90" t="s">
        <v>11639</v>
      </c>
      <c r="F300" s="91">
        <v>45621</v>
      </c>
      <c r="G300" s="92">
        <v>85584</v>
      </c>
      <c r="H300" s="90" t="s">
        <v>11</v>
      </c>
      <c r="I3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00" s="90" t="s">
        <v>4478</v>
      </c>
    </row>
    <row r="301" spans="1:11">
      <c r="A301" s="90" t="s">
        <v>7112</v>
      </c>
      <c r="B301" s="90" t="s">
        <v>7113</v>
      </c>
      <c r="C301" s="90" t="s">
        <v>15</v>
      </c>
      <c r="D301" s="90" t="str">
        <f>VLOOKUP(Tabela1[[#This Row],[Origem]],'Perguntas 1 a 24'!$J$28:$K$34,2,FALSE)</f>
        <v>Sudeste</v>
      </c>
      <c r="E301" s="90" t="s">
        <v>11640</v>
      </c>
      <c r="F301" s="91">
        <v>45621</v>
      </c>
      <c r="G301" s="92">
        <v>23877</v>
      </c>
      <c r="H301" s="90" t="s">
        <v>14</v>
      </c>
      <c r="I3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01" s="90" t="s">
        <v>7113</v>
      </c>
    </row>
    <row r="302" spans="1:11">
      <c r="A302" s="90" t="s">
        <v>7238</v>
      </c>
      <c r="B302" s="90" t="s">
        <v>7239</v>
      </c>
      <c r="C302" s="90" t="s">
        <v>6</v>
      </c>
      <c r="D302" s="90" t="str">
        <f>VLOOKUP(Tabela1[[#This Row],[Origem]],'Perguntas 1 a 24'!$J$28:$K$34,2,FALSE)</f>
        <v>Nordeste</v>
      </c>
      <c r="E302" s="90" t="s">
        <v>11641</v>
      </c>
      <c r="F302" s="91">
        <v>45621</v>
      </c>
      <c r="G302" s="92">
        <v>74319</v>
      </c>
      <c r="H302" s="90" t="s">
        <v>14</v>
      </c>
      <c r="I3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02" s="90" t="s">
        <v>7239</v>
      </c>
    </row>
    <row r="303" spans="1:11">
      <c r="A303" s="90" t="s">
        <v>8551</v>
      </c>
      <c r="B303" s="90" t="s">
        <v>8552</v>
      </c>
      <c r="C303" s="90" t="s">
        <v>10</v>
      </c>
      <c r="D303" s="90" t="str">
        <f>VLOOKUP(Tabela1[[#This Row],[Origem]],'Perguntas 1 a 24'!$J$28:$K$34,2,FALSE)</f>
        <v>Centro-Oeste</v>
      </c>
      <c r="E303" s="90" t="s">
        <v>11642</v>
      </c>
      <c r="F303" s="91">
        <v>45621</v>
      </c>
      <c r="G303" s="92">
        <v>53780</v>
      </c>
      <c r="H303" s="90" t="s">
        <v>7</v>
      </c>
      <c r="I3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03" s="90" t="s">
        <v>8552</v>
      </c>
    </row>
    <row r="304" spans="1:11">
      <c r="A304" s="90" t="s">
        <v>9847</v>
      </c>
      <c r="B304" s="90" t="s">
        <v>9848</v>
      </c>
      <c r="C304" s="90" t="s">
        <v>8</v>
      </c>
      <c r="D304" s="90" t="str">
        <f>VLOOKUP(Tabela1[[#This Row],[Origem]],'Perguntas 1 a 24'!$J$28:$K$34,2,FALSE)</f>
        <v>Nordeste</v>
      </c>
      <c r="E304" s="90" t="s">
        <v>11643</v>
      </c>
      <c r="F304" s="91">
        <v>45621</v>
      </c>
      <c r="G304" s="92">
        <v>82961</v>
      </c>
      <c r="H304" s="90" t="s">
        <v>11</v>
      </c>
      <c r="I3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04" s="90" t="s">
        <v>9848</v>
      </c>
    </row>
    <row r="305" spans="1:11">
      <c r="A305" s="90" t="s">
        <v>10207</v>
      </c>
      <c r="B305" s="90" t="s">
        <v>10208</v>
      </c>
      <c r="C305" s="90" t="s">
        <v>13</v>
      </c>
      <c r="D305" s="90" t="str">
        <f>VLOOKUP(Tabela1[[#This Row],[Origem]],'Perguntas 1 a 24'!$J$28:$K$34,2,FALSE)</f>
        <v>Sudeste</v>
      </c>
      <c r="E305" s="90" t="s">
        <v>11644</v>
      </c>
      <c r="F305" s="91">
        <v>45621</v>
      </c>
      <c r="G305" s="92">
        <v>93104</v>
      </c>
      <c r="H305" s="90" t="s">
        <v>7</v>
      </c>
      <c r="I3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05" s="90" t="s">
        <v>10208</v>
      </c>
    </row>
    <row r="306" spans="1:11">
      <c r="A306" s="90" t="s">
        <v>11004</v>
      </c>
      <c r="B306" s="90" t="s">
        <v>11005</v>
      </c>
      <c r="C306" s="90" t="s">
        <v>15</v>
      </c>
      <c r="D306" s="90" t="str">
        <f>VLOOKUP(Tabela1[[#This Row],[Origem]],'Perguntas 1 a 24'!$J$28:$K$34,2,FALSE)</f>
        <v>Sudeste</v>
      </c>
      <c r="E306" s="90" t="s">
        <v>11645</v>
      </c>
      <c r="F306" s="91">
        <v>45621</v>
      </c>
      <c r="G306" s="92">
        <v>99153</v>
      </c>
      <c r="H306" s="90" t="s">
        <v>14</v>
      </c>
      <c r="I3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06" s="90" t="s">
        <v>11005</v>
      </c>
    </row>
    <row r="307" spans="1:11">
      <c r="A307" s="90" t="s">
        <v>8581</v>
      </c>
      <c r="B307" s="90" t="s">
        <v>8582</v>
      </c>
      <c r="C307" s="90" t="s">
        <v>16</v>
      </c>
      <c r="D307" s="90" t="str">
        <f>VLOOKUP(Tabela1[[#This Row],[Origem]],'Perguntas 1 a 24'!$J$28:$K$34,2,FALSE)</f>
        <v>Sudeste</v>
      </c>
      <c r="E307" s="90" t="s">
        <v>11646</v>
      </c>
      <c r="F307" s="91">
        <v>45622</v>
      </c>
      <c r="G307" s="92">
        <v>54835</v>
      </c>
      <c r="H307" s="90" t="s">
        <v>14</v>
      </c>
      <c r="I3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07" s="90" t="s">
        <v>8582</v>
      </c>
    </row>
    <row r="308" spans="1:11">
      <c r="A308" s="90" t="s">
        <v>8018</v>
      </c>
      <c r="B308" s="90" t="s">
        <v>8019</v>
      </c>
      <c r="C308" s="90" t="s">
        <v>6</v>
      </c>
      <c r="D308" s="90" t="str">
        <f>VLOOKUP(Tabela1[[#This Row],[Origem]],'Perguntas 1 a 24'!$J$28:$K$34,2,FALSE)</f>
        <v>Nordeste</v>
      </c>
      <c r="E308" s="90" t="s">
        <v>11647</v>
      </c>
      <c r="F308" s="91">
        <v>45623</v>
      </c>
      <c r="G308" s="92">
        <v>105246</v>
      </c>
      <c r="H308" s="90" t="s">
        <v>11</v>
      </c>
      <c r="I3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08" s="90" t="s">
        <v>8019</v>
      </c>
    </row>
    <row r="309" spans="1:11">
      <c r="A309" s="90" t="s">
        <v>8154</v>
      </c>
      <c r="B309" s="90" t="s">
        <v>8155</v>
      </c>
      <c r="C309" s="90" t="s">
        <v>13</v>
      </c>
      <c r="D309" s="90" t="str">
        <f>VLOOKUP(Tabela1[[#This Row],[Origem]],'Perguntas 1 a 24'!$J$28:$K$34,2,FALSE)</f>
        <v>Sudeste</v>
      </c>
      <c r="E309" s="90" t="s">
        <v>11648</v>
      </c>
      <c r="F309" s="91">
        <v>45623</v>
      </c>
      <c r="G309" s="92">
        <v>31353</v>
      </c>
      <c r="H309" s="90" t="s">
        <v>14</v>
      </c>
      <c r="I3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09" s="90" t="s">
        <v>8155</v>
      </c>
    </row>
    <row r="310" spans="1:11">
      <c r="A310" s="90" t="s">
        <v>9251</v>
      </c>
      <c r="B310" s="90" t="s">
        <v>9252</v>
      </c>
      <c r="C310" s="90" t="s">
        <v>8</v>
      </c>
      <c r="D310" s="90" t="str">
        <f>VLOOKUP(Tabela1[[#This Row],[Origem]],'Perguntas 1 a 24'!$J$28:$K$34,2,FALSE)</f>
        <v>Nordeste</v>
      </c>
      <c r="E310" s="90" t="s">
        <v>11649</v>
      </c>
      <c r="F310" s="91">
        <v>45623</v>
      </c>
      <c r="G310" s="92">
        <v>52759</v>
      </c>
      <c r="H310" s="90" t="s">
        <v>11</v>
      </c>
      <c r="I3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10" s="90" t="s">
        <v>9252</v>
      </c>
    </row>
    <row r="311" spans="1:11">
      <c r="A311" s="90" t="s">
        <v>6270</v>
      </c>
      <c r="B311" s="90" t="s">
        <v>6271</v>
      </c>
      <c r="C311" s="90" t="s">
        <v>12</v>
      </c>
      <c r="D311" s="90" t="str">
        <f>VLOOKUP(Tabela1[[#This Row],[Origem]],'Perguntas 1 a 24'!$J$28:$K$34,2,FALSE)</f>
        <v>Sudeste</v>
      </c>
      <c r="E311" s="90" t="s">
        <v>11650</v>
      </c>
      <c r="F311" s="91">
        <v>45625</v>
      </c>
      <c r="G311" s="92">
        <v>45023</v>
      </c>
      <c r="H311" s="90" t="s">
        <v>14</v>
      </c>
      <c r="I3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11" s="90" t="s">
        <v>6271</v>
      </c>
    </row>
    <row r="312" spans="1:11">
      <c r="A312" s="90" t="s">
        <v>7888</v>
      </c>
      <c r="B312" s="90" t="s">
        <v>7889</v>
      </c>
      <c r="C312" s="90" t="s">
        <v>10</v>
      </c>
      <c r="D312" s="90" t="str">
        <f>VLOOKUP(Tabela1[[#This Row],[Origem]],'Perguntas 1 a 24'!$J$28:$K$34,2,FALSE)</f>
        <v>Centro-Oeste</v>
      </c>
      <c r="E312" s="90" t="s">
        <v>11651</v>
      </c>
      <c r="F312" s="91">
        <v>45626</v>
      </c>
      <c r="G312" s="92">
        <v>53914</v>
      </c>
      <c r="H312" s="90" t="s">
        <v>7</v>
      </c>
      <c r="I3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12" s="90" t="s">
        <v>7889</v>
      </c>
    </row>
    <row r="313" spans="1:11">
      <c r="A313" s="90" t="s">
        <v>5706</v>
      </c>
      <c r="B313" s="90" t="s">
        <v>5707</v>
      </c>
      <c r="C313" s="90" t="s">
        <v>12</v>
      </c>
      <c r="D313" s="90" t="str">
        <f>VLOOKUP(Tabela1[[#This Row],[Origem]],'Perguntas 1 a 24'!$J$28:$K$34,2,FALSE)</f>
        <v>Sudeste</v>
      </c>
      <c r="E313" s="90" t="s">
        <v>11652</v>
      </c>
      <c r="F313" s="91">
        <v>45628</v>
      </c>
      <c r="G313" s="92">
        <v>102668</v>
      </c>
      <c r="H313" s="90" t="s">
        <v>9</v>
      </c>
      <c r="I3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13" s="90" t="s">
        <v>5707</v>
      </c>
    </row>
    <row r="314" spans="1:11">
      <c r="A314" s="90" t="s">
        <v>4287</v>
      </c>
      <c r="B314" s="90" t="s">
        <v>4288</v>
      </c>
      <c r="C314" s="90" t="s">
        <v>12</v>
      </c>
      <c r="D314" s="90" t="str">
        <f>VLOOKUP(Tabela1[[#This Row],[Origem]],'Perguntas 1 a 24'!$J$28:$K$34,2,FALSE)</f>
        <v>Sudeste</v>
      </c>
      <c r="E314" s="90" t="s">
        <v>11653</v>
      </c>
      <c r="F314" s="91">
        <v>45630</v>
      </c>
      <c r="G314" s="92">
        <v>104623</v>
      </c>
      <c r="H314" s="90" t="s">
        <v>11</v>
      </c>
      <c r="I3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14" s="90" t="s">
        <v>4288</v>
      </c>
    </row>
    <row r="315" spans="1:11">
      <c r="A315" s="90" t="s">
        <v>6560</v>
      </c>
      <c r="B315" s="90" t="s">
        <v>6561</v>
      </c>
      <c r="C315" s="90" t="s">
        <v>13</v>
      </c>
      <c r="D315" s="90" t="str">
        <f>VLOOKUP(Tabela1[[#This Row],[Origem]],'Perguntas 1 a 24'!$J$28:$K$34,2,FALSE)</f>
        <v>Sudeste</v>
      </c>
      <c r="E315" s="90" t="s">
        <v>11654</v>
      </c>
      <c r="F315" s="91">
        <v>45630</v>
      </c>
      <c r="G315" s="92">
        <v>66867</v>
      </c>
      <c r="H315" s="90" t="s">
        <v>9</v>
      </c>
      <c r="I3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15" s="90" t="s">
        <v>6561</v>
      </c>
    </row>
    <row r="316" spans="1:11">
      <c r="A316" s="90" t="s">
        <v>5058</v>
      </c>
      <c r="B316" s="90" t="s">
        <v>5059</v>
      </c>
      <c r="C316" s="90" t="s">
        <v>6</v>
      </c>
      <c r="D316" s="90" t="str">
        <f>VLOOKUP(Tabela1[[#This Row],[Origem]],'Perguntas 1 a 24'!$J$28:$K$34,2,FALSE)</f>
        <v>Nordeste</v>
      </c>
      <c r="E316" s="90" t="s">
        <v>11655</v>
      </c>
      <c r="F316" s="91">
        <v>45633</v>
      </c>
      <c r="G316" s="92">
        <v>69414</v>
      </c>
      <c r="H316" s="90" t="s">
        <v>14</v>
      </c>
      <c r="I3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16" s="90" t="s">
        <v>5059</v>
      </c>
    </row>
    <row r="317" spans="1:11">
      <c r="A317" s="90" t="s">
        <v>5470</v>
      </c>
      <c r="B317" s="90" t="s">
        <v>5471</v>
      </c>
      <c r="C317" s="90" t="s">
        <v>6</v>
      </c>
      <c r="D317" s="90" t="str">
        <f>VLOOKUP(Tabela1[[#This Row],[Origem]],'Perguntas 1 a 24'!$J$28:$K$34,2,FALSE)</f>
        <v>Nordeste</v>
      </c>
      <c r="E317" s="90" t="s">
        <v>11656</v>
      </c>
      <c r="F317" s="91">
        <v>45633</v>
      </c>
      <c r="G317" s="92">
        <v>23181</v>
      </c>
      <c r="H317" s="90" t="s">
        <v>11</v>
      </c>
      <c r="I3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17" s="90" t="s">
        <v>5471</v>
      </c>
    </row>
    <row r="318" spans="1:11">
      <c r="A318" s="90" t="s">
        <v>7722</v>
      </c>
      <c r="B318" s="90" t="s">
        <v>7723</v>
      </c>
      <c r="C318" s="90" t="s">
        <v>12</v>
      </c>
      <c r="D318" s="90" t="str">
        <f>VLOOKUP(Tabela1[[#This Row],[Origem]],'Perguntas 1 a 24'!$J$28:$K$34,2,FALSE)</f>
        <v>Sudeste</v>
      </c>
      <c r="E318" s="90" t="s">
        <v>11657</v>
      </c>
      <c r="F318" s="91">
        <v>45634</v>
      </c>
      <c r="G318" s="92">
        <v>111422</v>
      </c>
      <c r="H318" s="90" t="s">
        <v>7</v>
      </c>
      <c r="I3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18" s="90" t="s">
        <v>7723</v>
      </c>
    </row>
    <row r="319" spans="1:11">
      <c r="A319" s="90" t="s">
        <v>10279</v>
      </c>
      <c r="B319" s="90" t="s">
        <v>10280</v>
      </c>
      <c r="C319" s="90" t="s">
        <v>6</v>
      </c>
      <c r="D319" s="90" t="str">
        <f>VLOOKUP(Tabela1[[#This Row],[Origem]],'Perguntas 1 a 24'!$J$28:$K$34,2,FALSE)</f>
        <v>Nordeste</v>
      </c>
      <c r="E319" s="90" t="s">
        <v>11658</v>
      </c>
      <c r="F319" s="91">
        <v>45634</v>
      </c>
      <c r="G319" s="92">
        <v>42940</v>
      </c>
      <c r="H319" s="90" t="s">
        <v>14</v>
      </c>
      <c r="I3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19" s="90" t="s">
        <v>10280</v>
      </c>
    </row>
    <row r="320" spans="1:11">
      <c r="A320" s="90" t="s">
        <v>6434</v>
      </c>
      <c r="B320" s="90" t="s">
        <v>6435</v>
      </c>
      <c r="C320" s="90" t="s">
        <v>16</v>
      </c>
      <c r="D320" s="90" t="str">
        <f>VLOOKUP(Tabela1[[#This Row],[Origem]],'Perguntas 1 a 24'!$J$28:$K$34,2,FALSE)</f>
        <v>Sudeste</v>
      </c>
      <c r="E320" s="90" t="s">
        <v>11659</v>
      </c>
      <c r="F320" s="91">
        <v>45635</v>
      </c>
      <c r="G320" s="92">
        <v>31739</v>
      </c>
      <c r="H320" s="90" t="s">
        <v>7</v>
      </c>
      <c r="I3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20" s="90" t="s">
        <v>6435</v>
      </c>
    </row>
    <row r="321" spans="1:11">
      <c r="A321" s="90" t="s">
        <v>3706</v>
      </c>
      <c r="B321" s="90" t="s">
        <v>3707</v>
      </c>
      <c r="C321" s="90" t="s">
        <v>6</v>
      </c>
      <c r="D321" s="90" t="str">
        <f>VLOOKUP(Tabela1[[#This Row],[Origem]],'Perguntas 1 a 24'!$J$28:$K$34,2,FALSE)</f>
        <v>Nordeste</v>
      </c>
      <c r="E321" s="90" t="s">
        <v>11660</v>
      </c>
      <c r="F321" s="91">
        <v>45636</v>
      </c>
      <c r="G321" s="92">
        <v>38140</v>
      </c>
      <c r="H321" s="90" t="s">
        <v>7</v>
      </c>
      <c r="I3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21" s="90" t="s">
        <v>3707</v>
      </c>
    </row>
    <row r="322" spans="1:11">
      <c r="A322" s="90" t="s">
        <v>9813</v>
      </c>
      <c r="B322" s="90" t="s">
        <v>9814</v>
      </c>
      <c r="C322" s="90" t="s">
        <v>6</v>
      </c>
      <c r="D322" s="90" t="str">
        <f>VLOOKUP(Tabela1[[#This Row],[Origem]],'Perguntas 1 a 24'!$J$28:$K$34,2,FALSE)</f>
        <v>Nordeste</v>
      </c>
      <c r="E322" s="90" t="s">
        <v>11661</v>
      </c>
      <c r="F322" s="91">
        <v>45636</v>
      </c>
      <c r="G322" s="92">
        <v>64019</v>
      </c>
      <c r="H322" s="90" t="s">
        <v>14</v>
      </c>
      <c r="I3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22" s="90" t="s">
        <v>9814</v>
      </c>
    </row>
    <row r="323" spans="1:11">
      <c r="A323" s="90" t="s">
        <v>10157</v>
      </c>
      <c r="B323" s="90" t="s">
        <v>10158</v>
      </c>
      <c r="C323" s="90" t="s">
        <v>13</v>
      </c>
      <c r="D323" s="90" t="str">
        <f>VLOOKUP(Tabela1[[#This Row],[Origem]],'Perguntas 1 a 24'!$J$28:$K$34,2,FALSE)</f>
        <v>Sudeste</v>
      </c>
      <c r="E323" s="90" t="s">
        <v>11662</v>
      </c>
      <c r="F323" s="91">
        <v>45636</v>
      </c>
      <c r="G323" s="92">
        <v>75792</v>
      </c>
      <c r="H323" s="90" t="s">
        <v>14</v>
      </c>
      <c r="I3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23" s="90" t="s">
        <v>10158</v>
      </c>
    </row>
    <row r="324" spans="1:11">
      <c r="A324" s="90" t="s">
        <v>6836</v>
      </c>
      <c r="B324" s="90" t="s">
        <v>6837</v>
      </c>
      <c r="C324" s="90" t="s">
        <v>8</v>
      </c>
      <c r="D324" s="90" t="str">
        <f>VLOOKUP(Tabela1[[#This Row],[Origem]],'Perguntas 1 a 24'!$J$28:$K$34,2,FALSE)</f>
        <v>Nordeste</v>
      </c>
      <c r="E324" s="90" t="s">
        <v>11663</v>
      </c>
      <c r="F324" s="91">
        <v>45637</v>
      </c>
      <c r="G324" s="92">
        <v>37185</v>
      </c>
      <c r="H324" s="90" t="s">
        <v>11</v>
      </c>
      <c r="I3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24" s="90" t="s">
        <v>6837</v>
      </c>
    </row>
    <row r="325" spans="1:11">
      <c r="A325" s="90" t="s">
        <v>9873</v>
      </c>
      <c r="B325" s="90" t="s">
        <v>9874</v>
      </c>
      <c r="C325" s="90" t="s">
        <v>16</v>
      </c>
      <c r="D325" s="90" t="str">
        <f>VLOOKUP(Tabela1[[#This Row],[Origem]],'Perguntas 1 a 24'!$J$28:$K$34,2,FALSE)</f>
        <v>Sudeste</v>
      </c>
      <c r="E325" s="90" t="s">
        <v>11664</v>
      </c>
      <c r="F325" s="91">
        <v>45637</v>
      </c>
      <c r="G325" s="92">
        <v>70059</v>
      </c>
      <c r="H325" s="90" t="s">
        <v>9</v>
      </c>
      <c r="I3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25" s="90" t="s">
        <v>9874</v>
      </c>
    </row>
    <row r="326" spans="1:11">
      <c r="A326" s="90" t="s">
        <v>8673</v>
      </c>
      <c r="B326" s="90" t="s">
        <v>8674</v>
      </c>
      <c r="C326" s="90" t="s">
        <v>8</v>
      </c>
      <c r="D326" s="90" t="str">
        <f>VLOOKUP(Tabela1[[#This Row],[Origem]],'Perguntas 1 a 24'!$J$28:$K$34,2,FALSE)</f>
        <v>Nordeste</v>
      </c>
      <c r="E326" s="90" t="s">
        <v>11665</v>
      </c>
      <c r="F326" s="91">
        <v>45639</v>
      </c>
      <c r="G326" s="92">
        <v>26617</v>
      </c>
      <c r="H326" s="90" t="s">
        <v>7</v>
      </c>
      <c r="I3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26" s="90" t="s">
        <v>8674</v>
      </c>
    </row>
    <row r="327" spans="1:11">
      <c r="A327" s="90" t="s">
        <v>6706</v>
      </c>
      <c r="B327" s="90" t="s">
        <v>6707</v>
      </c>
      <c r="C327" s="90" t="s">
        <v>10</v>
      </c>
      <c r="D327" s="90" t="str">
        <f>VLOOKUP(Tabela1[[#This Row],[Origem]],'Perguntas 1 a 24'!$J$28:$K$34,2,FALSE)</f>
        <v>Centro-Oeste</v>
      </c>
      <c r="E327" s="90" t="s">
        <v>11666</v>
      </c>
      <c r="F327" s="91">
        <v>45641</v>
      </c>
      <c r="G327" s="92">
        <v>40048</v>
      </c>
      <c r="H327" s="90" t="s">
        <v>7</v>
      </c>
      <c r="I3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27" s="90" t="s">
        <v>6707</v>
      </c>
    </row>
    <row r="328" spans="1:11">
      <c r="A328" s="90" t="s">
        <v>4321</v>
      </c>
      <c r="B328" s="90" t="s">
        <v>4322</v>
      </c>
      <c r="C328" s="90" t="s">
        <v>6</v>
      </c>
      <c r="D328" s="90" t="str">
        <f>VLOOKUP(Tabela1[[#This Row],[Origem]],'Perguntas 1 a 24'!$J$28:$K$34,2,FALSE)</f>
        <v>Nordeste</v>
      </c>
      <c r="E328" s="90" t="s">
        <v>11667</v>
      </c>
      <c r="F328" s="91">
        <v>45643</v>
      </c>
      <c r="G328" s="92">
        <v>95226</v>
      </c>
      <c r="H328" s="90" t="s">
        <v>7</v>
      </c>
      <c r="I3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28" s="90" t="s">
        <v>4322</v>
      </c>
    </row>
    <row r="329" spans="1:11">
      <c r="A329" s="90" t="s">
        <v>10537</v>
      </c>
      <c r="B329" s="90" t="s">
        <v>10538</v>
      </c>
      <c r="C329" s="90" t="s">
        <v>6</v>
      </c>
      <c r="D329" s="90" t="str">
        <f>VLOOKUP(Tabela1[[#This Row],[Origem]],'Perguntas 1 a 24'!$J$28:$K$34,2,FALSE)</f>
        <v>Nordeste</v>
      </c>
      <c r="E329" s="90" t="s">
        <v>11668</v>
      </c>
      <c r="F329" s="91">
        <v>45643</v>
      </c>
      <c r="G329" s="92">
        <v>36477</v>
      </c>
      <c r="H329" s="90" t="s">
        <v>9</v>
      </c>
      <c r="I3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29" s="90" t="s">
        <v>10538</v>
      </c>
    </row>
    <row r="330" spans="1:11">
      <c r="A330" s="90" t="s">
        <v>10967</v>
      </c>
      <c r="B330" s="90" t="s">
        <v>10968</v>
      </c>
      <c r="C330" s="90" t="s">
        <v>13</v>
      </c>
      <c r="D330" s="90" t="str">
        <f>VLOOKUP(Tabela1[[#This Row],[Origem]],'Perguntas 1 a 24'!$J$28:$K$34,2,FALSE)</f>
        <v>Sudeste</v>
      </c>
      <c r="E330" s="90" t="s">
        <v>11669</v>
      </c>
      <c r="F330" s="91">
        <v>45643</v>
      </c>
      <c r="G330" s="92">
        <v>93859</v>
      </c>
      <c r="H330" s="90" t="s">
        <v>9</v>
      </c>
      <c r="I3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0" s="90" t="s">
        <v>10968</v>
      </c>
    </row>
    <row r="331" spans="1:11">
      <c r="A331" s="90" t="s">
        <v>11291</v>
      </c>
      <c r="B331" s="90" t="s">
        <v>11292</v>
      </c>
      <c r="C331" s="90" t="s">
        <v>6</v>
      </c>
      <c r="D331" s="90" t="str">
        <f>VLOOKUP(Tabela1[[#This Row],[Origem]],'Perguntas 1 a 24'!$J$28:$K$34,2,FALSE)</f>
        <v>Nordeste</v>
      </c>
      <c r="E331" s="90" t="s">
        <v>11670</v>
      </c>
      <c r="F331" s="91">
        <v>45643</v>
      </c>
      <c r="G331" s="92">
        <v>34072</v>
      </c>
      <c r="H331" s="90" t="s">
        <v>9</v>
      </c>
      <c r="I3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31" s="90" t="s">
        <v>11292</v>
      </c>
    </row>
    <row r="332" spans="1:11">
      <c r="A332" s="90" t="s">
        <v>4311</v>
      </c>
      <c r="B332" s="90" t="s">
        <v>4312</v>
      </c>
      <c r="C332" s="90" t="s">
        <v>6</v>
      </c>
      <c r="D332" s="90" t="str">
        <f>VLOOKUP(Tabela1[[#This Row],[Origem]],'Perguntas 1 a 24'!$J$28:$K$34,2,FALSE)</f>
        <v>Nordeste</v>
      </c>
      <c r="E332" s="90" t="s">
        <v>11671</v>
      </c>
      <c r="F332" s="91">
        <v>45644</v>
      </c>
      <c r="G332" s="92">
        <v>83230</v>
      </c>
      <c r="H332" s="90" t="s">
        <v>14</v>
      </c>
      <c r="I3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2" s="90" t="s">
        <v>4312</v>
      </c>
    </row>
    <row r="333" spans="1:11">
      <c r="A333" s="90" t="s">
        <v>7898</v>
      </c>
      <c r="B333" s="90" t="s">
        <v>7899</v>
      </c>
      <c r="C333" s="90" t="s">
        <v>10</v>
      </c>
      <c r="D333" s="90" t="str">
        <f>VLOOKUP(Tabela1[[#This Row],[Origem]],'Perguntas 1 a 24'!$J$28:$K$34,2,FALSE)</f>
        <v>Centro-Oeste</v>
      </c>
      <c r="E333" s="90" t="s">
        <v>11672</v>
      </c>
      <c r="F333" s="91">
        <v>45644</v>
      </c>
      <c r="G333" s="92">
        <v>83883</v>
      </c>
      <c r="H333" s="90" t="s">
        <v>14</v>
      </c>
      <c r="I3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3" s="90" t="s">
        <v>7899</v>
      </c>
    </row>
    <row r="334" spans="1:11">
      <c r="A334" s="90" t="s">
        <v>4996</v>
      </c>
      <c r="B334" s="90" t="s">
        <v>4997</v>
      </c>
      <c r="C334" s="90" t="s">
        <v>16</v>
      </c>
      <c r="D334" s="90" t="str">
        <f>VLOOKUP(Tabela1[[#This Row],[Origem]],'Perguntas 1 a 24'!$J$28:$K$34,2,FALSE)</f>
        <v>Sudeste</v>
      </c>
      <c r="E334" s="90" t="s">
        <v>11673</v>
      </c>
      <c r="F334" s="91">
        <v>45645</v>
      </c>
      <c r="G334" s="92">
        <v>83528</v>
      </c>
      <c r="H334" s="90" t="s">
        <v>14</v>
      </c>
      <c r="I3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4" s="90" t="s">
        <v>4997</v>
      </c>
    </row>
    <row r="335" spans="1:11">
      <c r="A335" s="90" t="s">
        <v>9055</v>
      </c>
      <c r="B335" s="90" t="s">
        <v>9056</v>
      </c>
      <c r="C335" s="90" t="s">
        <v>16</v>
      </c>
      <c r="D335" s="90" t="str">
        <f>VLOOKUP(Tabela1[[#This Row],[Origem]],'Perguntas 1 a 24'!$J$28:$K$34,2,FALSE)</f>
        <v>Sudeste</v>
      </c>
      <c r="E335" s="90" t="s">
        <v>11674</v>
      </c>
      <c r="F335" s="91">
        <v>45645</v>
      </c>
      <c r="G335" s="92">
        <v>106904</v>
      </c>
      <c r="H335" s="90" t="s">
        <v>11</v>
      </c>
      <c r="I3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5" s="90" t="s">
        <v>9056</v>
      </c>
    </row>
    <row r="336" spans="1:11">
      <c r="A336" s="90" t="s">
        <v>4698</v>
      </c>
      <c r="B336" s="90" t="s">
        <v>4699</v>
      </c>
      <c r="C336" s="90" t="s">
        <v>10</v>
      </c>
      <c r="D336" s="90" t="str">
        <f>VLOOKUP(Tabela1[[#This Row],[Origem]],'Perguntas 1 a 24'!$J$28:$K$34,2,FALSE)</f>
        <v>Centro-Oeste</v>
      </c>
      <c r="E336" s="90" t="s">
        <v>11675</v>
      </c>
      <c r="F336" s="91">
        <v>45647</v>
      </c>
      <c r="G336" s="92">
        <v>27089</v>
      </c>
      <c r="H336" s="90" t="s">
        <v>14</v>
      </c>
      <c r="I3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36" s="90" t="s">
        <v>4699</v>
      </c>
    </row>
    <row r="337" spans="1:11">
      <c r="A337" s="90" t="s">
        <v>3766</v>
      </c>
      <c r="B337" s="90" t="s">
        <v>3767</v>
      </c>
      <c r="C337" s="90" t="s">
        <v>16</v>
      </c>
      <c r="D337" s="90" t="str">
        <f>VLOOKUP(Tabela1[[#This Row],[Origem]],'Perguntas 1 a 24'!$J$28:$K$34,2,FALSE)</f>
        <v>Sudeste</v>
      </c>
      <c r="E337" s="90" t="s">
        <v>11676</v>
      </c>
      <c r="F337" s="91">
        <v>45648</v>
      </c>
      <c r="G337" s="92">
        <v>53658</v>
      </c>
      <c r="H337" s="90" t="s">
        <v>11</v>
      </c>
      <c r="I3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7" s="90" t="s">
        <v>3767</v>
      </c>
    </row>
    <row r="338" spans="1:11">
      <c r="A338" s="90" t="s">
        <v>7204</v>
      </c>
      <c r="B338" s="90" t="s">
        <v>7205</v>
      </c>
      <c r="C338" s="90" t="s">
        <v>6</v>
      </c>
      <c r="D338" s="90" t="str">
        <f>VLOOKUP(Tabela1[[#This Row],[Origem]],'Perguntas 1 a 24'!$J$28:$K$34,2,FALSE)</f>
        <v>Nordeste</v>
      </c>
      <c r="E338" s="90" t="s">
        <v>11677</v>
      </c>
      <c r="F338" s="91">
        <v>45648</v>
      </c>
      <c r="G338" s="92">
        <v>65443</v>
      </c>
      <c r="H338" s="90" t="s">
        <v>7</v>
      </c>
      <c r="I3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8" s="90" t="s">
        <v>7205</v>
      </c>
    </row>
    <row r="339" spans="1:11">
      <c r="A339" s="90" t="s">
        <v>9967</v>
      </c>
      <c r="B339" s="90" t="s">
        <v>9968</v>
      </c>
      <c r="C339" s="90" t="s">
        <v>8</v>
      </c>
      <c r="D339" s="90" t="str">
        <f>VLOOKUP(Tabela1[[#This Row],[Origem]],'Perguntas 1 a 24'!$J$28:$K$34,2,FALSE)</f>
        <v>Nordeste</v>
      </c>
      <c r="E339" s="90" t="s">
        <v>11678</v>
      </c>
      <c r="F339" s="91">
        <v>45648</v>
      </c>
      <c r="G339" s="92">
        <v>100474</v>
      </c>
      <c r="H339" s="90" t="s">
        <v>14</v>
      </c>
      <c r="I3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39" s="90" t="s">
        <v>9968</v>
      </c>
    </row>
    <row r="340" spans="1:11">
      <c r="A340" s="90" t="s">
        <v>5616</v>
      </c>
      <c r="B340" s="90" t="s">
        <v>5617</v>
      </c>
      <c r="C340" s="90" t="s">
        <v>15</v>
      </c>
      <c r="D340" s="90" t="str">
        <f>VLOOKUP(Tabela1[[#This Row],[Origem]],'Perguntas 1 a 24'!$J$28:$K$34,2,FALSE)</f>
        <v>Sudeste</v>
      </c>
      <c r="E340" s="90" t="s">
        <v>11679</v>
      </c>
      <c r="F340" s="91">
        <v>45649</v>
      </c>
      <c r="G340" s="92">
        <v>41116</v>
      </c>
      <c r="H340" s="90" t="s">
        <v>7</v>
      </c>
      <c r="I3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40" s="90" t="s">
        <v>5617</v>
      </c>
    </row>
    <row r="341" spans="1:11">
      <c r="A341" s="90" t="s">
        <v>11319</v>
      </c>
      <c r="B341" s="90" t="s">
        <v>11320</v>
      </c>
      <c r="C341" s="90" t="s">
        <v>10</v>
      </c>
      <c r="D341" s="90" t="str">
        <f>VLOOKUP(Tabela1[[#This Row],[Origem]],'Perguntas 1 a 24'!$J$28:$K$34,2,FALSE)</f>
        <v>Centro-Oeste</v>
      </c>
      <c r="E341" s="90" t="s">
        <v>11680</v>
      </c>
      <c r="F341" s="91">
        <v>45649</v>
      </c>
      <c r="G341" s="92">
        <v>116644</v>
      </c>
      <c r="H341" s="90" t="s">
        <v>7</v>
      </c>
      <c r="I3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41" s="90" t="s">
        <v>11320</v>
      </c>
    </row>
    <row r="342" spans="1:11">
      <c r="A342" s="90" t="s">
        <v>5908</v>
      </c>
      <c r="B342" s="90" t="s">
        <v>5909</v>
      </c>
      <c r="C342" s="90" t="s">
        <v>13</v>
      </c>
      <c r="D342" s="90" t="str">
        <f>VLOOKUP(Tabela1[[#This Row],[Origem]],'Perguntas 1 a 24'!$J$28:$K$34,2,FALSE)</f>
        <v>Sudeste</v>
      </c>
      <c r="E342" s="90" t="s">
        <v>11681</v>
      </c>
      <c r="F342" s="91">
        <v>45651</v>
      </c>
      <c r="G342" s="92">
        <v>31744</v>
      </c>
      <c r="H342" s="90" t="s">
        <v>14</v>
      </c>
      <c r="I3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42" s="90" t="s">
        <v>5909</v>
      </c>
    </row>
    <row r="343" spans="1:11">
      <c r="A343" s="90" t="s">
        <v>6212</v>
      </c>
      <c r="B343" s="90" t="s">
        <v>6213</v>
      </c>
      <c r="C343" s="90" t="s">
        <v>8</v>
      </c>
      <c r="D343" s="90" t="str">
        <f>VLOOKUP(Tabela1[[#This Row],[Origem]],'Perguntas 1 a 24'!$J$28:$K$34,2,FALSE)</f>
        <v>Nordeste</v>
      </c>
      <c r="E343" s="90" t="s">
        <v>11682</v>
      </c>
      <c r="F343" s="91">
        <v>45651</v>
      </c>
      <c r="G343" s="92">
        <v>22443</v>
      </c>
      <c r="H343" s="90" t="s">
        <v>7</v>
      </c>
      <c r="I3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43" s="90" t="s">
        <v>6213</v>
      </c>
    </row>
    <row r="344" spans="1:11">
      <c r="A344" s="90" t="s">
        <v>9161</v>
      </c>
      <c r="B344" s="90" t="s">
        <v>9162</v>
      </c>
      <c r="C344" s="90" t="s">
        <v>8</v>
      </c>
      <c r="D344" s="90" t="str">
        <f>VLOOKUP(Tabela1[[#This Row],[Origem]],'Perguntas 1 a 24'!$J$28:$K$34,2,FALSE)</f>
        <v>Nordeste</v>
      </c>
      <c r="E344" s="90" t="s">
        <v>11683</v>
      </c>
      <c r="F344" s="91">
        <v>45651</v>
      </c>
      <c r="G344" s="92">
        <v>100229</v>
      </c>
      <c r="H344" s="90" t="s">
        <v>7</v>
      </c>
      <c r="I3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44" s="90" t="s">
        <v>9162</v>
      </c>
    </row>
    <row r="345" spans="1:11">
      <c r="A345" s="90" t="s">
        <v>10153</v>
      </c>
      <c r="B345" s="90" t="s">
        <v>10154</v>
      </c>
      <c r="C345" s="90" t="s">
        <v>6</v>
      </c>
      <c r="D345" s="90" t="str">
        <f>VLOOKUP(Tabela1[[#This Row],[Origem]],'Perguntas 1 a 24'!$J$28:$K$34,2,FALSE)</f>
        <v>Nordeste</v>
      </c>
      <c r="E345" s="90" t="s">
        <v>11684</v>
      </c>
      <c r="F345" s="91">
        <v>45651</v>
      </c>
      <c r="G345" s="92">
        <v>72862</v>
      </c>
      <c r="H345" s="90" t="s">
        <v>14</v>
      </c>
      <c r="I3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45" s="90" t="s">
        <v>10154</v>
      </c>
    </row>
    <row r="346" spans="1:11">
      <c r="A346" s="90" t="s">
        <v>8849</v>
      </c>
      <c r="B346" s="90" t="s">
        <v>8850</v>
      </c>
      <c r="C346" s="90" t="s">
        <v>10</v>
      </c>
      <c r="D346" s="90" t="str">
        <f>VLOOKUP(Tabela1[[#This Row],[Origem]],'Perguntas 1 a 24'!$J$28:$K$34,2,FALSE)</f>
        <v>Centro-Oeste</v>
      </c>
      <c r="E346" s="90" t="s">
        <v>11685</v>
      </c>
      <c r="F346" s="91">
        <v>45652</v>
      </c>
      <c r="G346" s="92">
        <v>69974</v>
      </c>
      <c r="H346" s="90" t="s">
        <v>9</v>
      </c>
      <c r="I3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46" s="90" t="s">
        <v>8850</v>
      </c>
    </row>
    <row r="347" spans="1:11">
      <c r="A347" s="90" t="s">
        <v>9591</v>
      </c>
      <c r="B347" s="90" t="s">
        <v>9592</v>
      </c>
      <c r="C347" s="90" t="s">
        <v>10</v>
      </c>
      <c r="D347" s="90" t="str">
        <f>VLOOKUP(Tabela1[[#This Row],[Origem]],'Perguntas 1 a 24'!$J$28:$K$34,2,FALSE)</f>
        <v>Centro-Oeste</v>
      </c>
      <c r="E347" s="90" t="s">
        <v>11686</v>
      </c>
      <c r="F347" s="91">
        <v>45652</v>
      </c>
      <c r="G347" s="92">
        <v>70256</v>
      </c>
      <c r="H347" s="90" t="s">
        <v>14</v>
      </c>
      <c r="I3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47" s="90" t="s">
        <v>9592</v>
      </c>
    </row>
    <row r="348" spans="1:11">
      <c r="A348" s="90" t="s">
        <v>4908</v>
      </c>
      <c r="B348" s="90" t="s">
        <v>4909</v>
      </c>
      <c r="C348" s="90" t="s">
        <v>15</v>
      </c>
      <c r="D348" s="90" t="str">
        <f>VLOOKUP(Tabela1[[#This Row],[Origem]],'Perguntas 1 a 24'!$J$28:$K$34,2,FALSE)</f>
        <v>Sudeste</v>
      </c>
      <c r="E348" s="90" t="s">
        <v>11687</v>
      </c>
      <c r="F348" s="91">
        <v>45653</v>
      </c>
      <c r="G348" s="92">
        <v>68167</v>
      </c>
      <c r="H348" s="90" t="s">
        <v>9</v>
      </c>
      <c r="I3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48" s="90" t="s">
        <v>4909</v>
      </c>
    </row>
    <row r="349" spans="1:11">
      <c r="A349" s="90" t="s">
        <v>5786</v>
      </c>
      <c r="B349" s="90" t="s">
        <v>5787</v>
      </c>
      <c r="C349" s="90" t="s">
        <v>6</v>
      </c>
      <c r="D349" s="90" t="str">
        <f>VLOOKUP(Tabela1[[#This Row],[Origem]],'Perguntas 1 a 24'!$J$28:$K$34,2,FALSE)</f>
        <v>Nordeste</v>
      </c>
      <c r="E349" s="90" t="s">
        <v>11688</v>
      </c>
      <c r="F349" s="91">
        <v>45653</v>
      </c>
      <c r="G349" s="92">
        <v>82946</v>
      </c>
      <c r="H349" s="90" t="s">
        <v>14</v>
      </c>
      <c r="I3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49" s="90" t="s">
        <v>5787</v>
      </c>
    </row>
    <row r="350" spans="1:11">
      <c r="A350" s="90" t="s">
        <v>6964</v>
      </c>
      <c r="B350" s="90" t="s">
        <v>6965</v>
      </c>
      <c r="C350" s="90" t="s">
        <v>16</v>
      </c>
      <c r="D350" s="90" t="str">
        <f>VLOOKUP(Tabela1[[#This Row],[Origem]],'Perguntas 1 a 24'!$J$28:$K$34,2,FALSE)</f>
        <v>Sudeste</v>
      </c>
      <c r="E350" s="90" t="s">
        <v>11689</v>
      </c>
      <c r="F350" s="91">
        <v>45653</v>
      </c>
      <c r="G350" s="92">
        <v>115794</v>
      </c>
      <c r="H350" s="90" t="s">
        <v>11</v>
      </c>
      <c r="I3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0" s="90" t="s">
        <v>6965</v>
      </c>
    </row>
    <row r="351" spans="1:11">
      <c r="A351" s="90" t="s">
        <v>7996</v>
      </c>
      <c r="B351" s="90" t="s">
        <v>7997</v>
      </c>
      <c r="C351" s="90" t="s">
        <v>10</v>
      </c>
      <c r="D351" s="90" t="str">
        <f>VLOOKUP(Tabela1[[#This Row],[Origem]],'Perguntas 1 a 24'!$J$28:$K$34,2,FALSE)</f>
        <v>Centro-Oeste</v>
      </c>
      <c r="E351" s="90" t="s">
        <v>11690</v>
      </c>
      <c r="F351" s="91">
        <v>45653</v>
      </c>
      <c r="G351" s="92">
        <v>83882</v>
      </c>
      <c r="H351" s="90" t="s">
        <v>7</v>
      </c>
      <c r="I3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1" s="90" t="s">
        <v>7997</v>
      </c>
    </row>
    <row r="352" spans="1:11">
      <c r="A352" s="90" t="s">
        <v>8547</v>
      </c>
      <c r="B352" s="90" t="s">
        <v>8548</v>
      </c>
      <c r="C352" s="90" t="s">
        <v>13</v>
      </c>
      <c r="D352" s="90" t="str">
        <f>VLOOKUP(Tabela1[[#This Row],[Origem]],'Perguntas 1 a 24'!$J$28:$K$34,2,FALSE)</f>
        <v>Sudeste</v>
      </c>
      <c r="E352" s="90" t="s">
        <v>11691</v>
      </c>
      <c r="F352" s="91">
        <v>45653</v>
      </c>
      <c r="G352" s="92">
        <v>83434</v>
      </c>
      <c r="H352" s="90" t="s">
        <v>9</v>
      </c>
      <c r="I3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2" s="90" t="s">
        <v>8548</v>
      </c>
    </row>
    <row r="353" spans="1:11">
      <c r="A353" s="90" t="s">
        <v>11199</v>
      </c>
      <c r="B353" s="90" t="s">
        <v>11200</v>
      </c>
      <c r="C353" s="90" t="s">
        <v>10</v>
      </c>
      <c r="D353" s="90" t="str">
        <f>VLOOKUP(Tabela1[[#This Row],[Origem]],'Perguntas 1 a 24'!$J$28:$K$34,2,FALSE)</f>
        <v>Centro-Oeste</v>
      </c>
      <c r="E353" s="90" t="s">
        <v>11692</v>
      </c>
      <c r="F353" s="91">
        <v>45653</v>
      </c>
      <c r="G353" s="92">
        <v>114100</v>
      </c>
      <c r="H353" s="90" t="s">
        <v>9</v>
      </c>
      <c r="I3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3" s="90" t="s">
        <v>11200</v>
      </c>
    </row>
    <row r="354" spans="1:11">
      <c r="A354" s="90" t="s">
        <v>10971</v>
      </c>
      <c r="B354" s="90" t="s">
        <v>10972</v>
      </c>
      <c r="C354" s="90" t="s">
        <v>12</v>
      </c>
      <c r="D354" s="90" t="str">
        <f>VLOOKUP(Tabela1[[#This Row],[Origem]],'Perguntas 1 a 24'!$J$28:$K$34,2,FALSE)</f>
        <v>Sudeste</v>
      </c>
      <c r="E354" s="90" t="s">
        <v>11693</v>
      </c>
      <c r="F354" s="91">
        <v>45654</v>
      </c>
      <c r="G354" s="92">
        <v>66322</v>
      </c>
      <c r="H354" s="90" t="s">
        <v>9</v>
      </c>
      <c r="I3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4" s="90" t="s">
        <v>10972</v>
      </c>
    </row>
    <row r="355" spans="1:11">
      <c r="A355" s="90" t="s">
        <v>6898</v>
      </c>
      <c r="B355" s="90" t="s">
        <v>6899</v>
      </c>
      <c r="C355" s="90" t="s">
        <v>13</v>
      </c>
      <c r="D355" s="90" t="str">
        <f>VLOOKUP(Tabela1[[#This Row],[Origem]],'Perguntas 1 a 24'!$J$28:$K$34,2,FALSE)</f>
        <v>Sudeste</v>
      </c>
      <c r="E355" s="90" t="s">
        <v>11694</v>
      </c>
      <c r="F355" s="91">
        <v>45655</v>
      </c>
      <c r="G355" s="92">
        <v>79649</v>
      </c>
      <c r="H355" s="90" t="s">
        <v>7</v>
      </c>
      <c r="I3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5" s="90" t="s">
        <v>6899</v>
      </c>
    </row>
    <row r="356" spans="1:11">
      <c r="A356" s="90" t="s">
        <v>7516</v>
      </c>
      <c r="B356" s="90" t="s">
        <v>7517</v>
      </c>
      <c r="C356" s="90" t="s">
        <v>10</v>
      </c>
      <c r="D356" s="90" t="str">
        <f>VLOOKUP(Tabela1[[#This Row],[Origem]],'Perguntas 1 a 24'!$J$28:$K$34,2,FALSE)</f>
        <v>Centro-Oeste</v>
      </c>
      <c r="E356" s="90" t="s">
        <v>11695</v>
      </c>
      <c r="F356" s="91">
        <v>45656</v>
      </c>
      <c r="G356" s="92">
        <v>79460</v>
      </c>
      <c r="H356" s="90" t="s">
        <v>7</v>
      </c>
      <c r="I3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6" s="90" t="s">
        <v>7517</v>
      </c>
    </row>
    <row r="357" spans="1:11">
      <c r="A357" s="90" t="s">
        <v>9133</v>
      </c>
      <c r="B357" s="90" t="s">
        <v>9134</v>
      </c>
      <c r="C357" s="90" t="s">
        <v>16</v>
      </c>
      <c r="D357" s="90" t="str">
        <f>VLOOKUP(Tabela1[[#This Row],[Origem]],'Perguntas 1 a 24'!$J$28:$K$34,2,FALSE)</f>
        <v>Sudeste</v>
      </c>
      <c r="E357" s="90" t="s">
        <v>11696</v>
      </c>
      <c r="F357" s="91">
        <v>45656</v>
      </c>
      <c r="G357" s="92">
        <v>66906</v>
      </c>
      <c r="H357" s="90" t="s">
        <v>11</v>
      </c>
      <c r="I3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7" s="90" t="s">
        <v>9134</v>
      </c>
    </row>
    <row r="358" spans="1:11">
      <c r="A358" s="90" t="s">
        <v>9339</v>
      </c>
      <c r="B358" s="90" t="s">
        <v>9340</v>
      </c>
      <c r="C358" s="90" t="s">
        <v>8</v>
      </c>
      <c r="D358" s="90" t="str">
        <f>VLOOKUP(Tabela1[[#This Row],[Origem]],'Perguntas 1 a 24'!$J$28:$K$34,2,FALSE)</f>
        <v>Nordeste</v>
      </c>
      <c r="E358" s="90" t="s">
        <v>11697</v>
      </c>
      <c r="F358" s="91">
        <v>45658</v>
      </c>
      <c r="G358" s="92">
        <v>53115</v>
      </c>
      <c r="H358" s="90" t="s">
        <v>7</v>
      </c>
      <c r="I3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8" s="90" t="s">
        <v>9340</v>
      </c>
    </row>
    <row r="359" spans="1:11">
      <c r="A359" s="90" t="s">
        <v>10245</v>
      </c>
      <c r="B359" s="90" t="s">
        <v>10246</v>
      </c>
      <c r="C359" s="90" t="s">
        <v>13</v>
      </c>
      <c r="D359" s="90" t="str">
        <f>VLOOKUP(Tabela1[[#This Row],[Origem]],'Perguntas 1 a 24'!$J$28:$K$34,2,FALSE)</f>
        <v>Sudeste</v>
      </c>
      <c r="E359" s="90" t="s">
        <v>11698</v>
      </c>
      <c r="F359" s="91">
        <v>45658</v>
      </c>
      <c r="G359" s="92">
        <v>95425</v>
      </c>
      <c r="H359" s="90" t="s">
        <v>9</v>
      </c>
      <c r="I3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59" s="90" t="s">
        <v>10246</v>
      </c>
    </row>
    <row r="360" spans="1:11">
      <c r="A360" s="90" t="s">
        <v>10203</v>
      </c>
      <c r="B360" s="90" t="s">
        <v>10204</v>
      </c>
      <c r="C360" s="90" t="s">
        <v>10</v>
      </c>
      <c r="D360" s="90" t="str">
        <f>VLOOKUP(Tabela1[[#This Row],[Origem]],'Perguntas 1 a 24'!$J$28:$K$34,2,FALSE)</f>
        <v>Centro-Oeste</v>
      </c>
      <c r="E360" s="90" t="s">
        <v>11699</v>
      </c>
      <c r="F360" s="91">
        <v>45659</v>
      </c>
      <c r="G360" s="92">
        <v>25800</v>
      </c>
      <c r="H360" s="90" t="s">
        <v>9</v>
      </c>
      <c r="I3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60" s="90" t="s">
        <v>10204</v>
      </c>
    </row>
    <row r="361" spans="1:11">
      <c r="A361" s="90" t="s">
        <v>3952</v>
      </c>
      <c r="B361" s="90" t="s">
        <v>3953</v>
      </c>
      <c r="C361" s="90" t="s">
        <v>12</v>
      </c>
      <c r="D361" s="90" t="str">
        <f>VLOOKUP(Tabela1[[#This Row],[Origem]],'Perguntas 1 a 24'!$J$28:$K$34,2,FALSE)</f>
        <v>Sudeste</v>
      </c>
      <c r="E361" s="90" t="s">
        <v>11700</v>
      </c>
      <c r="F361" s="91">
        <v>45661</v>
      </c>
      <c r="G361" s="92">
        <v>65948</v>
      </c>
      <c r="H361" s="90" t="s">
        <v>7</v>
      </c>
      <c r="I3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61" s="90" t="s">
        <v>3953</v>
      </c>
    </row>
    <row r="362" spans="1:11">
      <c r="A362" s="90" t="s">
        <v>7184</v>
      </c>
      <c r="B362" s="90" t="s">
        <v>7185</v>
      </c>
      <c r="C362" s="90" t="s">
        <v>15</v>
      </c>
      <c r="D362" s="90" t="str">
        <f>VLOOKUP(Tabela1[[#This Row],[Origem]],'Perguntas 1 a 24'!$J$28:$K$34,2,FALSE)</f>
        <v>Sudeste</v>
      </c>
      <c r="E362" s="90" t="s">
        <v>11701</v>
      </c>
      <c r="F362" s="91">
        <v>45661</v>
      </c>
      <c r="G362" s="92">
        <v>81197</v>
      </c>
      <c r="H362" s="90" t="s">
        <v>7</v>
      </c>
      <c r="I3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62" s="90" t="s">
        <v>7185</v>
      </c>
    </row>
    <row r="363" spans="1:11">
      <c r="A363" s="90" t="s">
        <v>10947</v>
      </c>
      <c r="B363" s="90" t="s">
        <v>10948</v>
      </c>
      <c r="C363" s="90" t="s">
        <v>12</v>
      </c>
      <c r="D363" s="90" t="str">
        <f>VLOOKUP(Tabela1[[#This Row],[Origem]],'Perguntas 1 a 24'!$J$28:$K$34,2,FALSE)</f>
        <v>Sudeste</v>
      </c>
      <c r="E363" s="90" t="s">
        <v>11702</v>
      </c>
      <c r="F363" s="91">
        <v>45662</v>
      </c>
      <c r="G363" s="92">
        <v>25481</v>
      </c>
      <c r="H363" s="90" t="s">
        <v>7</v>
      </c>
      <c r="I3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63" s="90" t="s">
        <v>10948</v>
      </c>
    </row>
    <row r="364" spans="1:11">
      <c r="A364" s="90" t="s">
        <v>8060</v>
      </c>
      <c r="B364" s="90" t="s">
        <v>8061</v>
      </c>
      <c r="C364" s="90" t="s">
        <v>16</v>
      </c>
      <c r="D364" s="90" t="str">
        <f>VLOOKUP(Tabela1[[#This Row],[Origem]],'Perguntas 1 a 24'!$J$28:$K$34,2,FALSE)</f>
        <v>Sudeste</v>
      </c>
      <c r="E364" s="90" t="s">
        <v>11703</v>
      </c>
      <c r="F364" s="91">
        <v>45664</v>
      </c>
      <c r="G364" s="92">
        <v>36196</v>
      </c>
      <c r="H364" s="90" t="s">
        <v>14</v>
      </c>
      <c r="I3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64" s="90" t="s">
        <v>8061</v>
      </c>
    </row>
    <row r="365" spans="1:11">
      <c r="A365" s="90" t="s">
        <v>9105</v>
      </c>
      <c r="B365" s="90" t="s">
        <v>9106</v>
      </c>
      <c r="C365" s="90" t="s">
        <v>13</v>
      </c>
      <c r="D365" s="90" t="str">
        <f>VLOOKUP(Tabela1[[#This Row],[Origem]],'Perguntas 1 a 24'!$J$28:$K$34,2,FALSE)</f>
        <v>Sudeste</v>
      </c>
      <c r="E365" s="90" t="s">
        <v>11704</v>
      </c>
      <c r="F365" s="91">
        <v>45664</v>
      </c>
      <c r="G365" s="92">
        <v>111868</v>
      </c>
      <c r="H365" s="90" t="s">
        <v>11</v>
      </c>
      <c r="I3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65" s="90" t="s">
        <v>9106</v>
      </c>
    </row>
    <row r="366" spans="1:11">
      <c r="A366" s="90" t="s">
        <v>4676</v>
      </c>
      <c r="B366" s="90" t="s">
        <v>4677</v>
      </c>
      <c r="C366" s="90" t="s">
        <v>8</v>
      </c>
      <c r="D366" s="90" t="str">
        <f>VLOOKUP(Tabela1[[#This Row],[Origem]],'Perguntas 1 a 24'!$J$28:$K$34,2,FALSE)</f>
        <v>Nordeste</v>
      </c>
      <c r="E366" s="90" t="s">
        <v>11705</v>
      </c>
      <c r="F366" s="91">
        <v>45665</v>
      </c>
      <c r="G366" s="92">
        <v>71462</v>
      </c>
      <c r="H366" s="90" t="s">
        <v>7</v>
      </c>
      <c r="I3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66" s="90" t="s">
        <v>4677</v>
      </c>
    </row>
    <row r="367" spans="1:11">
      <c r="A367" s="90" t="s">
        <v>6158</v>
      </c>
      <c r="B367" s="90" t="s">
        <v>6159</v>
      </c>
      <c r="C367" s="90" t="s">
        <v>10</v>
      </c>
      <c r="D367" s="90" t="str">
        <f>VLOOKUP(Tabela1[[#This Row],[Origem]],'Perguntas 1 a 24'!$J$28:$K$34,2,FALSE)</f>
        <v>Centro-Oeste</v>
      </c>
      <c r="E367" s="90" t="s">
        <v>11706</v>
      </c>
      <c r="F367" s="91">
        <v>45665</v>
      </c>
      <c r="G367" s="92">
        <v>49339</v>
      </c>
      <c r="H367" s="90" t="s">
        <v>7</v>
      </c>
      <c r="I3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67" s="90" t="s">
        <v>6159</v>
      </c>
    </row>
    <row r="368" spans="1:11">
      <c r="A368" s="90" t="s">
        <v>9365</v>
      </c>
      <c r="B368" s="90" t="s">
        <v>9366</v>
      </c>
      <c r="C368" s="90" t="s">
        <v>8</v>
      </c>
      <c r="D368" s="90" t="str">
        <f>VLOOKUP(Tabela1[[#This Row],[Origem]],'Perguntas 1 a 24'!$J$28:$K$34,2,FALSE)</f>
        <v>Nordeste</v>
      </c>
      <c r="E368" s="90" t="s">
        <v>11707</v>
      </c>
      <c r="F368" s="91">
        <v>45665</v>
      </c>
      <c r="G368" s="92">
        <v>32374</v>
      </c>
      <c r="H368" s="90" t="s">
        <v>9</v>
      </c>
      <c r="I3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68" s="90" t="s">
        <v>9366</v>
      </c>
    </row>
    <row r="369" spans="1:11">
      <c r="A369" s="90" t="s">
        <v>10765</v>
      </c>
      <c r="B369" s="90" t="s">
        <v>10766</v>
      </c>
      <c r="C369" s="90" t="s">
        <v>6</v>
      </c>
      <c r="D369" s="90" t="str">
        <f>VLOOKUP(Tabela1[[#This Row],[Origem]],'Perguntas 1 a 24'!$J$28:$K$34,2,FALSE)</f>
        <v>Nordeste</v>
      </c>
      <c r="E369" s="90" t="s">
        <v>11708</v>
      </c>
      <c r="F369" s="91">
        <v>45666</v>
      </c>
      <c r="G369" s="92">
        <v>89241</v>
      </c>
      <c r="H369" s="90" t="s">
        <v>11</v>
      </c>
      <c r="I3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69" s="90" t="s">
        <v>10766</v>
      </c>
    </row>
    <row r="370" spans="1:11">
      <c r="A370" s="90" t="s">
        <v>10789</v>
      </c>
      <c r="B370" s="90" t="s">
        <v>10790</v>
      </c>
      <c r="C370" s="90" t="s">
        <v>8</v>
      </c>
      <c r="D370" s="90" t="str">
        <f>VLOOKUP(Tabela1[[#This Row],[Origem]],'Perguntas 1 a 24'!$J$28:$K$34,2,FALSE)</f>
        <v>Nordeste</v>
      </c>
      <c r="E370" s="90" t="s">
        <v>11709</v>
      </c>
      <c r="F370" s="91">
        <v>45666</v>
      </c>
      <c r="G370" s="92">
        <v>54320</v>
      </c>
      <c r="H370" s="90" t="s">
        <v>14</v>
      </c>
      <c r="I3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0" s="90" t="s">
        <v>10790</v>
      </c>
    </row>
    <row r="371" spans="1:11">
      <c r="A371" s="90" t="s">
        <v>6814</v>
      </c>
      <c r="B371" s="90" t="s">
        <v>6815</v>
      </c>
      <c r="C371" s="90" t="s">
        <v>12</v>
      </c>
      <c r="D371" s="90" t="str">
        <f>VLOOKUP(Tabela1[[#This Row],[Origem]],'Perguntas 1 a 24'!$J$28:$K$34,2,FALSE)</f>
        <v>Sudeste</v>
      </c>
      <c r="E371" s="90" t="s">
        <v>11710</v>
      </c>
      <c r="F371" s="91">
        <v>45667</v>
      </c>
      <c r="G371" s="92">
        <v>55436</v>
      </c>
      <c r="H371" s="90" t="s">
        <v>14</v>
      </c>
      <c r="I3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1" s="90" t="s">
        <v>6815</v>
      </c>
    </row>
    <row r="372" spans="1:11">
      <c r="A372" s="90" t="s">
        <v>5810</v>
      </c>
      <c r="B372" s="90" t="s">
        <v>5811</v>
      </c>
      <c r="C372" s="90" t="s">
        <v>12</v>
      </c>
      <c r="D372" s="90" t="str">
        <f>VLOOKUP(Tabela1[[#This Row],[Origem]],'Perguntas 1 a 24'!$J$28:$K$34,2,FALSE)</f>
        <v>Sudeste</v>
      </c>
      <c r="E372" s="90" t="s">
        <v>11711</v>
      </c>
      <c r="F372" s="91">
        <v>45668</v>
      </c>
      <c r="G372" s="92">
        <v>119118</v>
      </c>
      <c r="H372" s="90" t="s">
        <v>9</v>
      </c>
      <c r="I3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2" s="90" t="s">
        <v>5811</v>
      </c>
    </row>
    <row r="373" spans="1:11">
      <c r="A373" s="90" t="s">
        <v>10059</v>
      </c>
      <c r="B373" s="90" t="s">
        <v>10060</v>
      </c>
      <c r="C373" s="90" t="s">
        <v>10</v>
      </c>
      <c r="D373" s="90" t="str">
        <f>VLOOKUP(Tabela1[[#This Row],[Origem]],'Perguntas 1 a 24'!$J$28:$K$34,2,FALSE)</f>
        <v>Centro-Oeste</v>
      </c>
      <c r="E373" s="90" t="s">
        <v>11712</v>
      </c>
      <c r="F373" s="91">
        <v>45669</v>
      </c>
      <c r="G373" s="92">
        <v>81353</v>
      </c>
      <c r="H373" s="90" t="s">
        <v>7</v>
      </c>
      <c r="I3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3" s="90" t="s">
        <v>10060</v>
      </c>
    </row>
    <row r="374" spans="1:11">
      <c r="A374" s="90" t="s">
        <v>5590</v>
      </c>
      <c r="B374" s="90" t="s">
        <v>5591</v>
      </c>
      <c r="C374" s="90" t="s">
        <v>15</v>
      </c>
      <c r="D374" s="90" t="str">
        <f>VLOOKUP(Tabela1[[#This Row],[Origem]],'Perguntas 1 a 24'!$J$28:$K$34,2,FALSE)</f>
        <v>Sudeste</v>
      </c>
      <c r="E374" s="90" t="s">
        <v>11713</v>
      </c>
      <c r="F374" s="91">
        <v>45670</v>
      </c>
      <c r="G374" s="92">
        <v>36024</v>
      </c>
      <c r="H374" s="90" t="s">
        <v>14</v>
      </c>
      <c r="I3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74" s="90" t="s">
        <v>5591</v>
      </c>
    </row>
    <row r="375" spans="1:11">
      <c r="A375" s="90" t="s">
        <v>8058</v>
      </c>
      <c r="B375" s="90" t="s">
        <v>8059</v>
      </c>
      <c r="C375" s="90" t="s">
        <v>10</v>
      </c>
      <c r="D375" s="90" t="str">
        <f>VLOOKUP(Tabela1[[#This Row],[Origem]],'Perguntas 1 a 24'!$J$28:$K$34,2,FALSE)</f>
        <v>Centro-Oeste</v>
      </c>
      <c r="E375" s="90" t="s">
        <v>11714</v>
      </c>
      <c r="F375" s="91">
        <v>45670</v>
      </c>
      <c r="G375" s="92">
        <v>55886</v>
      </c>
      <c r="H375" s="90" t="s">
        <v>14</v>
      </c>
      <c r="I3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5" s="90" t="s">
        <v>8059</v>
      </c>
    </row>
    <row r="376" spans="1:11">
      <c r="A376" s="90" t="s">
        <v>8256</v>
      </c>
      <c r="B376" s="90" t="s">
        <v>8257</v>
      </c>
      <c r="C376" s="90" t="s">
        <v>10</v>
      </c>
      <c r="D376" s="90" t="str">
        <f>VLOOKUP(Tabela1[[#This Row],[Origem]],'Perguntas 1 a 24'!$J$28:$K$34,2,FALSE)</f>
        <v>Centro-Oeste</v>
      </c>
      <c r="E376" s="90" t="s">
        <v>11715</v>
      </c>
      <c r="F376" s="91">
        <v>45670</v>
      </c>
      <c r="G376" s="92">
        <v>52367</v>
      </c>
      <c r="H376" s="90" t="s">
        <v>14</v>
      </c>
      <c r="I3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6" s="90" t="s">
        <v>8257</v>
      </c>
    </row>
    <row r="377" spans="1:11">
      <c r="A377" s="90" t="s">
        <v>3846</v>
      </c>
      <c r="B377" s="90" t="s">
        <v>3847</v>
      </c>
      <c r="C377" s="90" t="s">
        <v>15</v>
      </c>
      <c r="D377" s="90" t="str">
        <f>VLOOKUP(Tabela1[[#This Row],[Origem]],'Perguntas 1 a 24'!$J$28:$K$34,2,FALSE)</f>
        <v>Sudeste</v>
      </c>
      <c r="E377" s="90" t="s">
        <v>11716</v>
      </c>
      <c r="F377" s="91">
        <v>45671</v>
      </c>
      <c r="G377" s="92">
        <v>94461</v>
      </c>
      <c r="H377" s="90" t="s">
        <v>11</v>
      </c>
      <c r="I3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7" s="90" t="s">
        <v>3847</v>
      </c>
    </row>
    <row r="378" spans="1:11">
      <c r="A378" s="90" t="s">
        <v>5546</v>
      </c>
      <c r="B378" s="90" t="s">
        <v>5547</v>
      </c>
      <c r="C378" s="90" t="s">
        <v>15</v>
      </c>
      <c r="D378" s="90" t="str">
        <f>VLOOKUP(Tabela1[[#This Row],[Origem]],'Perguntas 1 a 24'!$J$28:$K$34,2,FALSE)</f>
        <v>Sudeste</v>
      </c>
      <c r="E378" s="90" t="s">
        <v>11717</v>
      </c>
      <c r="F378" s="91">
        <v>45672</v>
      </c>
      <c r="G378" s="92">
        <v>58490</v>
      </c>
      <c r="H378" s="90" t="s">
        <v>7</v>
      </c>
      <c r="I3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8" s="90" t="s">
        <v>5547</v>
      </c>
    </row>
    <row r="379" spans="1:11">
      <c r="A379" s="90" t="s">
        <v>5958</v>
      </c>
      <c r="B379" s="90" t="s">
        <v>5959</v>
      </c>
      <c r="C379" s="90" t="s">
        <v>13</v>
      </c>
      <c r="D379" s="90" t="str">
        <f>VLOOKUP(Tabela1[[#This Row],[Origem]],'Perguntas 1 a 24'!$J$28:$K$34,2,FALSE)</f>
        <v>Sudeste</v>
      </c>
      <c r="E379" s="90" t="s">
        <v>11718</v>
      </c>
      <c r="F379" s="91">
        <v>45672</v>
      </c>
      <c r="G379" s="92">
        <v>100549</v>
      </c>
      <c r="H379" s="90" t="s">
        <v>14</v>
      </c>
      <c r="I3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79" s="90" t="s">
        <v>5959</v>
      </c>
    </row>
    <row r="380" spans="1:11">
      <c r="A380" s="90" t="s">
        <v>8302</v>
      </c>
      <c r="B380" s="90" t="s">
        <v>8303</v>
      </c>
      <c r="C380" s="90" t="s">
        <v>13</v>
      </c>
      <c r="D380" s="90" t="str">
        <f>VLOOKUP(Tabela1[[#This Row],[Origem]],'Perguntas 1 a 24'!$J$28:$K$34,2,FALSE)</f>
        <v>Sudeste</v>
      </c>
      <c r="E380" s="90" t="s">
        <v>11719</v>
      </c>
      <c r="F380" s="91">
        <v>45673</v>
      </c>
      <c r="G380" s="92">
        <v>104605</v>
      </c>
      <c r="H380" s="90" t="s">
        <v>7</v>
      </c>
      <c r="I3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80" s="90" t="s">
        <v>8303</v>
      </c>
    </row>
    <row r="381" spans="1:11">
      <c r="A381" s="90" t="s">
        <v>10123</v>
      </c>
      <c r="B381" s="90" t="s">
        <v>10124</v>
      </c>
      <c r="C381" s="90" t="s">
        <v>12</v>
      </c>
      <c r="D381" s="90" t="str">
        <f>VLOOKUP(Tabela1[[#This Row],[Origem]],'Perguntas 1 a 24'!$J$28:$K$34,2,FALSE)</f>
        <v>Sudeste</v>
      </c>
      <c r="E381" s="90" t="s">
        <v>11720</v>
      </c>
      <c r="F381" s="91">
        <v>45673</v>
      </c>
      <c r="G381" s="92">
        <v>51176</v>
      </c>
      <c r="H381" s="90" t="s">
        <v>11</v>
      </c>
      <c r="I3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81" s="90" t="s">
        <v>10124</v>
      </c>
    </row>
    <row r="382" spans="1:11">
      <c r="A382" s="90" t="s">
        <v>5126</v>
      </c>
      <c r="B382" s="90" t="s">
        <v>5127</v>
      </c>
      <c r="C382" s="90" t="s">
        <v>12</v>
      </c>
      <c r="D382" s="90" t="str">
        <f>VLOOKUP(Tabela1[[#This Row],[Origem]],'Perguntas 1 a 24'!$J$28:$K$34,2,FALSE)</f>
        <v>Sudeste</v>
      </c>
      <c r="E382" s="90" t="s">
        <v>11721</v>
      </c>
      <c r="F382" s="91">
        <v>45674</v>
      </c>
      <c r="G382" s="92">
        <v>24318</v>
      </c>
      <c r="H382" s="90" t="s">
        <v>11</v>
      </c>
      <c r="I3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82" s="90" t="s">
        <v>5127</v>
      </c>
    </row>
    <row r="383" spans="1:11">
      <c r="A383" s="90" t="s">
        <v>8416</v>
      </c>
      <c r="B383" s="90" t="s">
        <v>8417</v>
      </c>
      <c r="C383" s="90" t="s">
        <v>16</v>
      </c>
      <c r="D383" s="90" t="str">
        <f>VLOOKUP(Tabela1[[#This Row],[Origem]],'Perguntas 1 a 24'!$J$28:$K$34,2,FALSE)</f>
        <v>Sudeste</v>
      </c>
      <c r="E383" s="90" t="s">
        <v>11722</v>
      </c>
      <c r="F383" s="91">
        <v>45674</v>
      </c>
      <c r="G383" s="92">
        <v>65758</v>
      </c>
      <c r="H383" s="90" t="s">
        <v>7</v>
      </c>
      <c r="I3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83" s="90" t="s">
        <v>8417</v>
      </c>
    </row>
    <row r="384" spans="1:11">
      <c r="A384" s="90" t="s">
        <v>4516</v>
      </c>
      <c r="B384" s="90" t="s">
        <v>4517</v>
      </c>
      <c r="C384" s="90" t="s">
        <v>16</v>
      </c>
      <c r="D384" s="90" t="str">
        <f>VLOOKUP(Tabela1[[#This Row],[Origem]],'Perguntas 1 a 24'!$J$28:$K$34,2,FALSE)</f>
        <v>Sudeste</v>
      </c>
      <c r="E384" s="90" t="s">
        <v>11723</v>
      </c>
      <c r="F384" s="91">
        <v>45675</v>
      </c>
      <c r="G384" s="92">
        <v>49504</v>
      </c>
      <c r="H384" s="90" t="s">
        <v>11</v>
      </c>
      <c r="I3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84" s="90" t="s">
        <v>4517</v>
      </c>
    </row>
    <row r="385" spans="1:11">
      <c r="A385" s="90" t="s">
        <v>4385</v>
      </c>
      <c r="B385" s="90" t="s">
        <v>4386</v>
      </c>
      <c r="C385" s="90" t="s">
        <v>10</v>
      </c>
      <c r="D385" s="90" t="str">
        <f>VLOOKUP(Tabela1[[#This Row],[Origem]],'Perguntas 1 a 24'!$J$28:$K$34,2,FALSE)</f>
        <v>Centro-Oeste</v>
      </c>
      <c r="E385" s="90" t="s">
        <v>11724</v>
      </c>
      <c r="F385" s="91">
        <v>45676</v>
      </c>
      <c r="G385" s="92">
        <v>61268</v>
      </c>
      <c r="H385" s="90" t="s">
        <v>14</v>
      </c>
      <c r="I3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85" s="90" t="s">
        <v>4386</v>
      </c>
    </row>
    <row r="386" spans="1:11">
      <c r="A386" s="90" t="s">
        <v>4944</v>
      </c>
      <c r="B386" s="90" t="s">
        <v>4945</v>
      </c>
      <c r="C386" s="90" t="s">
        <v>15</v>
      </c>
      <c r="D386" s="90" t="str">
        <f>VLOOKUP(Tabela1[[#This Row],[Origem]],'Perguntas 1 a 24'!$J$28:$K$34,2,FALSE)</f>
        <v>Sudeste</v>
      </c>
      <c r="E386" s="90" t="s">
        <v>11725</v>
      </c>
      <c r="F386" s="91">
        <v>45676</v>
      </c>
      <c r="G386" s="92">
        <v>74061</v>
      </c>
      <c r="H386" s="90" t="s">
        <v>11</v>
      </c>
      <c r="I3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86" s="90" t="s">
        <v>4945</v>
      </c>
    </row>
    <row r="387" spans="1:11">
      <c r="A387" s="90" t="s">
        <v>5884</v>
      </c>
      <c r="B387" s="90" t="s">
        <v>5885</v>
      </c>
      <c r="C387" s="90" t="s">
        <v>16</v>
      </c>
      <c r="D387" s="90" t="str">
        <f>VLOOKUP(Tabela1[[#This Row],[Origem]],'Perguntas 1 a 24'!$J$28:$K$34,2,FALSE)</f>
        <v>Sudeste</v>
      </c>
      <c r="E387" s="90" t="s">
        <v>11726</v>
      </c>
      <c r="F387" s="91">
        <v>45676</v>
      </c>
      <c r="G387" s="92">
        <v>52199</v>
      </c>
      <c r="H387" s="90" t="s">
        <v>14</v>
      </c>
      <c r="I3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87" s="90" t="s">
        <v>5885</v>
      </c>
    </row>
    <row r="388" spans="1:11">
      <c r="A388" s="90" t="s">
        <v>7522</v>
      </c>
      <c r="B388" s="90" t="s">
        <v>7523</v>
      </c>
      <c r="C388" s="90" t="s">
        <v>6</v>
      </c>
      <c r="D388" s="90" t="str">
        <f>VLOOKUP(Tabela1[[#This Row],[Origem]],'Perguntas 1 a 24'!$J$28:$K$34,2,FALSE)</f>
        <v>Nordeste</v>
      </c>
      <c r="E388" s="90" t="s">
        <v>11727</v>
      </c>
      <c r="F388" s="91">
        <v>45677</v>
      </c>
      <c r="G388" s="92">
        <v>64325</v>
      </c>
      <c r="H388" s="90" t="s">
        <v>9</v>
      </c>
      <c r="I3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88" s="90" t="s">
        <v>7523</v>
      </c>
    </row>
    <row r="389" spans="1:11">
      <c r="A389" s="90" t="s">
        <v>8927</v>
      </c>
      <c r="B389" s="90" t="s">
        <v>8928</v>
      </c>
      <c r="C389" s="90" t="s">
        <v>8</v>
      </c>
      <c r="D389" s="90" t="str">
        <f>VLOOKUP(Tabela1[[#This Row],[Origem]],'Perguntas 1 a 24'!$J$28:$K$34,2,FALSE)</f>
        <v>Nordeste</v>
      </c>
      <c r="E389" s="90" t="s">
        <v>11728</v>
      </c>
      <c r="F389" s="91">
        <v>45680</v>
      </c>
      <c r="G389" s="92">
        <v>29591</v>
      </c>
      <c r="H389" s="90" t="s">
        <v>14</v>
      </c>
      <c r="I3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89" s="90" t="s">
        <v>8928</v>
      </c>
    </row>
    <row r="390" spans="1:11">
      <c r="A390" s="90" t="s">
        <v>7066</v>
      </c>
      <c r="B390" s="90" t="s">
        <v>7067</v>
      </c>
      <c r="C390" s="90" t="s">
        <v>6</v>
      </c>
      <c r="D390" s="90" t="str">
        <f>VLOOKUP(Tabela1[[#This Row],[Origem]],'Perguntas 1 a 24'!$J$28:$K$34,2,FALSE)</f>
        <v>Nordeste</v>
      </c>
      <c r="E390" s="90" t="s">
        <v>11729</v>
      </c>
      <c r="F390" s="91">
        <v>45682</v>
      </c>
      <c r="G390" s="92">
        <v>22338</v>
      </c>
      <c r="H390" s="90" t="s">
        <v>14</v>
      </c>
      <c r="I3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90" s="90" t="s">
        <v>7067</v>
      </c>
    </row>
    <row r="391" spans="1:11">
      <c r="A391" s="90" t="s">
        <v>8078</v>
      </c>
      <c r="B391" s="90" t="s">
        <v>8079</v>
      </c>
      <c r="C391" s="90" t="s">
        <v>15</v>
      </c>
      <c r="D391" s="90" t="str">
        <f>VLOOKUP(Tabela1[[#This Row],[Origem]],'Perguntas 1 a 24'!$J$28:$K$34,2,FALSE)</f>
        <v>Sudeste</v>
      </c>
      <c r="E391" s="90" t="s">
        <v>11730</v>
      </c>
      <c r="F391" s="91">
        <v>45682</v>
      </c>
      <c r="G391" s="92">
        <v>61931</v>
      </c>
      <c r="H391" s="90" t="s">
        <v>14</v>
      </c>
      <c r="I3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1" s="90" t="s">
        <v>8079</v>
      </c>
    </row>
    <row r="392" spans="1:11">
      <c r="A392" s="90" t="s">
        <v>4866</v>
      </c>
      <c r="B392" s="90" t="s">
        <v>4867</v>
      </c>
      <c r="C392" s="90" t="s">
        <v>6</v>
      </c>
      <c r="D392" s="90" t="str">
        <f>VLOOKUP(Tabela1[[#This Row],[Origem]],'Perguntas 1 a 24'!$J$28:$K$34,2,FALSE)</f>
        <v>Nordeste</v>
      </c>
      <c r="E392" s="90" t="s">
        <v>11731</v>
      </c>
      <c r="F392" s="91">
        <v>45683</v>
      </c>
      <c r="G392" s="92">
        <v>119785</v>
      </c>
      <c r="H392" s="90" t="s">
        <v>14</v>
      </c>
      <c r="I3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2" s="90" t="s">
        <v>4867</v>
      </c>
    </row>
    <row r="393" spans="1:11">
      <c r="A393" s="90" t="s">
        <v>11002</v>
      </c>
      <c r="B393" s="90" t="s">
        <v>11003</v>
      </c>
      <c r="C393" s="90" t="s">
        <v>13</v>
      </c>
      <c r="D393" s="90" t="str">
        <f>VLOOKUP(Tabela1[[#This Row],[Origem]],'Perguntas 1 a 24'!$J$28:$K$34,2,FALSE)</f>
        <v>Sudeste</v>
      </c>
      <c r="E393" s="90" t="s">
        <v>11732</v>
      </c>
      <c r="F393" s="91">
        <v>45683</v>
      </c>
      <c r="G393" s="92">
        <v>41468</v>
      </c>
      <c r="H393" s="90" t="s">
        <v>14</v>
      </c>
      <c r="I3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393" s="90" t="s">
        <v>11003</v>
      </c>
    </row>
    <row r="394" spans="1:11">
      <c r="A394" s="90" t="s">
        <v>9523</v>
      </c>
      <c r="B394" s="90" t="s">
        <v>9524</v>
      </c>
      <c r="C394" s="90" t="s">
        <v>10</v>
      </c>
      <c r="D394" s="90" t="str">
        <f>VLOOKUP(Tabela1[[#This Row],[Origem]],'Perguntas 1 a 24'!$J$28:$K$34,2,FALSE)</f>
        <v>Centro-Oeste</v>
      </c>
      <c r="E394" s="90" t="s">
        <v>11733</v>
      </c>
      <c r="F394" s="91">
        <v>45684</v>
      </c>
      <c r="G394" s="92">
        <v>107889</v>
      </c>
      <c r="H394" s="90" t="s">
        <v>11</v>
      </c>
      <c r="I3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4" s="90" t="s">
        <v>9524</v>
      </c>
    </row>
    <row r="395" spans="1:11">
      <c r="A395" s="90" t="s">
        <v>11052</v>
      </c>
      <c r="B395" s="90" t="s">
        <v>11053</v>
      </c>
      <c r="C395" s="90" t="s">
        <v>10</v>
      </c>
      <c r="D395" s="90" t="str">
        <f>VLOOKUP(Tabela1[[#This Row],[Origem]],'Perguntas 1 a 24'!$J$28:$K$34,2,FALSE)</f>
        <v>Centro-Oeste</v>
      </c>
      <c r="E395" s="90" t="s">
        <v>11734</v>
      </c>
      <c r="F395" s="91">
        <v>45685</v>
      </c>
      <c r="G395" s="92">
        <v>68020</v>
      </c>
      <c r="H395" s="90" t="s">
        <v>11</v>
      </c>
      <c r="I3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5" s="90" t="s">
        <v>11053</v>
      </c>
    </row>
    <row r="396" spans="1:11">
      <c r="A396" s="90" t="s">
        <v>11165</v>
      </c>
      <c r="B396" s="90" t="s">
        <v>11166</v>
      </c>
      <c r="C396" s="90" t="s">
        <v>16</v>
      </c>
      <c r="D396" s="90" t="str">
        <f>VLOOKUP(Tabela1[[#This Row],[Origem]],'Perguntas 1 a 24'!$J$28:$K$34,2,FALSE)</f>
        <v>Sudeste</v>
      </c>
      <c r="E396" s="90" t="s">
        <v>11735</v>
      </c>
      <c r="F396" s="91">
        <v>45685</v>
      </c>
      <c r="G396" s="92">
        <v>62637</v>
      </c>
      <c r="H396" s="90" t="s">
        <v>11</v>
      </c>
      <c r="I3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6" s="90" t="s">
        <v>11166</v>
      </c>
    </row>
    <row r="397" spans="1:11">
      <c r="A397" s="90" t="s">
        <v>6992</v>
      </c>
      <c r="B397" s="90" t="s">
        <v>6993</v>
      </c>
      <c r="C397" s="90" t="s">
        <v>6</v>
      </c>
      <c r="D397" s="90" t="str">
        <f>VLOOKUP(Tabela1[[#This Row],[Origem]],'Perguntas 1 a 24'!$J$28:$K$34,2,FALSE)</f>
        <v>Nordeste</v>
      </c>
      <c r="E397" s="90" t="s">
        <v>11736</v>
      </c>
      <c r="F397" s="91">
        <v>45686</v>
      </c>
      <c r="G397" s="92">
        <v>96754</v>
      </c>
      <c r="H397" s="90" t="s">
        <v>7</v>
      </c>
      <c r="I3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7" s="90" t="s">
        <v>6993</v>
      </c>
    </row>
    <row r="398" spans="1:11">
      <c r="A398" s="90" t="s">
        <v>7748</v>
      </c>
      <c r="B398" s="90" t="s">
        <v>7749</v>
      </c>
      <c r="C398" s="90" t="s">
        <v>15</v>
      </c>
      <c r="D398" s="90" t="str">
        <f>VLOOKUP(Tabela1[[#This Row],[Origem]],'Perguntas 1 a 24'!$J$28:$K$34,2,FALSE)</f>
        <v>Sudeste</v>
      </c>
      <c r="E398" s="90" t="s">
        <v>11737</v>
      </c>
      <c r="F398" s="91">
        <v>45686</v>
      </c>
      <c r="G398" s="92">
        <v>73828</v>
      </c>
      <c r="H398" s="90" t="s">
        <v>14</v>
      </c>
      <c r="I3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8" s="90" t="s">
        <v>7749</v>
      </c>
    </row>
    <row r="399" spans="1:11">
      <c r="A399" s="90" t="s">
        <v>9309</v>
      </c>
      <c r="B399" s="90" t="s">
        <v>9310</v>
      </c>
      <c r="C399" s="90" t="s">
        <v>13</v>
      </c>
      <c r="D399" s="90" t="str">
        <f>VLOOKUP(Tabela1[[#This Row],[Origem]],'Perguntas 1 a 24'!$J$28:$K$34,2,FALSE)</f>
        <v>Sudeste</v>
      </c>
      <c r="E399" s="90" t="s">
        <v>11738</v>
      </c>
      <c r="F399" s="91">
        <v>45686</v>
      </c>
      <c r="G399" s="92">
        <v>84806</v>
      </c>
      <c r="H399" s="90" t="s">
        <v>9</v>
      </c>
      <c r="I3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399" s="90" t="s">
        <v>9310</v>
      </c>
    </row>
    <row r="400" spans="1:11">
      <c r="A400" s="90" t="s">
        <v>4708</v>
      </c>
      <c r="B400" s="90" t="s">
        <v>4709</v>
      </c>
      <c r="C400" s="90" t="s">
        <v>16</v>
      </c>
      <c r="D400" s="90" t="str">
        <f>VLOOKUP(Tabela1[[#This Row],[Origem]],'Perguntas 1 a 24'!$J$28:$K$34,2,FALSE)</f>
        <v>Sudeste</v>
      </c>
      <c r="E400" s="90" t="s">
        <v>11739</v>
      </c>
      <c r="F400" s="91">
        <v>45687</v>
      </c>
      <c r="G400" s="92">
        <v>106490</v>
      </c>
      <c r="H400" s="90" t="s">
        <v>14</v>
      </c>
      <c r="I4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0" s="90" t="s">
        <v>4709</v>
      </c>
    </row>
    <row r="401" spans="1:11">
      <c r="A401" s="90" t="s">
        <v>5086</v>
      </c>
      <c r="B401" s="90" t="s">
        <v>5087</v>
      </c>
      <c r="C401" s="90" t="s">
        <v>16</v>
      </c>
      <c r="D401" s="90" t="str">
        <f>VLOOKUP(Tabela1[[#This Row],[Origem]],'Perguntas 1 a 24'!$J$28:$K$34,2,FALSE)</f>
        <v>Sudeste</v>
      </c>
      <c r="E401" s="90" t="s">
        <v>11740</v>
      </c>
      <c r="F401" s="91">
        <v>45687</v>
      </c>
      <c r="G401" s="92">
        <v>73423</v>
      </c>
      <c r="H401" s="90" t="s">
        <v>7</v>
      </c>
      <c r="I4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1" s="90" t="s">
        <v>5087</v>
      </c>
    </row>
    <row r="402" spans="1:11">
      <c r="A402" s="90" t="s">
        <v>6528</v>
      </c>
      <c r="B402" s="90" t="s">
        <v>6529</v>
      </c>
      <c r="C402" s="90" t="s">
        <v>8</v>
      </c>
      <c r="D402" s="90" t="str">
        <f>VLOOKUP(Tabela1[[#This Row],[Origem]],'Perguntas 1 a 24'!$J$28:$K$34,2,FALSE)</f>
        <v>Nordeste</v>
      </c>
      <c r="E402" s="90" t="s">
        <v>11741</v>
      </c>
      <c r="F402" s="91">
        <v>45688</v>
      </c>
      <c r="G402" s="92">
        <v>64651</v>
      </c>
      <c r="H402" s="90" t="s">
        <v>14</v>
      </c>
      <c r="I4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2" s="90" t="s">
        <v>6529</v>
      </c>
    </row>
    <row r="403" spans="1:11">
      <c r="A403" s="90" t="s">
        <v>6356</v>
      </c>
      <c r="B403" s="90" t="s">
        <v>6357</v>
      </c>
      <c r="C403" s="90" t="s">
        <v>10</v>
      </c>
      <c r="D403" s="90" t="str">
        <f>VLOOKUP(Tabela1[[#This Row],[Origem]],'Perguntas 1 a 24'!$J$28:$K$34,2,FALSE)</f>
        <v>Centro-Oeste</v>
      </c>
      <c r="E403" s="90" t="s">
        <v>11742</v>
      </c>
      <c r="F403" s="91">
        <v>45689</v>
      </c>
      <c r="G403" s="92">
        <v>77041</v>
      </c>
      <c r="H403" s="90" t="s">
        <v>14</v>
      </c>
      <c r="I4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3" s="90" t="s">
        <v>6357</v>
      </c>
    </row>
    <row r="404" spans="1:11">
      <c r="A404" s="90" t="s">
        <v>10599</v>
      </c>
      <c r="B404" s="90" t="s">
        <v>10600</v>
      </c>
      <c r="C404" s="90" t="s">
        <v>15</v>
      </c>
      <c r="D404" s="90" t="str">
        <f>VLOOKUP(Tabela1[[#This Row],[Origem]],'Perguntas 1 a 24'!$J$28:$K$34,2,FALSE)</f>
        <v>Sudeste</v>
      </c>
      <c r="E404" s="90" t="s">
        <v>11743</v>
      </c>
      <c r="F404" s="91">
        <v>45690</v>
      </c>
      <c r="G404" s="92">
        <v>107952</v>
      </c>
      <c r="H404" s="90" t="s">
        <v>9</v>
      </c>
      <c r="I4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4" s="90" t="s">
        <v>10600</v>
      </c>
    </row>
    <row r="405" spans="1:11">
      <c r="A405" s="90" t="s">
        <v>4409</v>
      </c>
      <c r="B405" s="90" t="s">
        <v>4410</v>
      </c>
      <c r="C405" s="90" t="s">
        <v>13</v>
      </c>
      <c r="D405" s="90" t="str">
        <f>VLOOKUP(Tabela1[[#This Row],[Origem]],'Perguntas 1 a 24'!$J$28:$K$34,2,FALSE)</f>
        <v>Sudeste</v>
      </c>
      <c r="E405" s="90" t="s">
        <v>11744</v>
      </c>
      <c r="F405" s="91">
        <v>45691</v>
      </c>
      <c r="G405" s="92">
        <v>29688</v>
      </c>
      <c r="H405" s="90" t="s">
        <v>9</v>
      </c>
      <c r="I4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05" s="90" t="s">
        <v>4410</v>
      </c>
    </row>
    <row r="406" spans="1:11">
      <c r="A406" s="90" t="s">
        <v>5162</v>
      </c>
      <c r="B406" s="90" t="s">
        <v>5163</v>
      </c>
      <c r="C406" s="90" t="s">
        <v>10</v>
      </c>
      <c r="D406" s="90" t="str">
        <f>VLOOKUP(Tabela1[[#This Row],[Origem]],'Perguntas 1 a 24'!$J$28:$K$34,2,FALSE)</f>
        <v>Centro-Oeste</v>
      </c>
      <c r="E406" s="90" t="s">
        <v>11745</v>
      </c>
      <c r="F406" s="91">
        <v>45691</v>
      </c>
      <c r="G406" s="92">
        <v>74295</v>
      </c>
      <c r="H406" s="90" t="s">
        <v>7</v>
      </c>
      <c r="I4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6" s="90" t="s">
        <v>5163</v>
      </c>
    </row>
    <row r="407" spans="1:11">
      <c r="A407" s="90" t="s">
        <v>6126</v>
      </c>
      <c r="B407" s="90" t="s">
        <v>6127</v>
      </c>
      <c r="C407" s="90" t="s">
        <v>10</v>
      </c>
      <c r="D407" s="90" t="str">
        <f>VLOOKUP(Tabela1[[#This Row],[Origem]],'Perguntas 1 a 24'!$J$28:$K$34,2,FALSE)</f>
        <v>Centro-Oeste</v>
      </c>
      <c r="E407" s="90" t="s">
        <v>11746</v>
      </c>
      <c r="F407" s="91">
        <v>45691</v>
      </c>
      <c r="G407" s="92">
        <v>27176</v>
      </c>
      <c r="H407" s="90" t="s">
        <v>9</v>
      </c>
      <c r="I4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07" s="90" t="s">
        <v>6127</v>
      </c>
    </row>
    <row r="408" spans="1:11">
      <c r="A408" s="90" t="s">
        <v>5956</v>
      </c>
      <c r="B408" s="90" t="s">
        <v>5957</v>
      </c>
      <c r="C408" s="90" t="s">
        <v>10</v>
      </c>
      <c r="D408" s="90" t="str">
        <f>VLOOKUP(Tabela1[[#This Row],[Origem]],'Perguntas 1 a 24'!$J$28:$K$34,2,FALSE)</f>
        <v>Centro-Oeste</v>
      </c>
      <c r="E408" s="90" t="s">
        <v>11747</v>
      </c>
      <c r="F408" s="91">
        <v>45692</v>
      </c>
      <c r="G408" s="92">
        <v>65826</v>
      </c>
      <c r="H408" s="90" t="s">
        <v>9</v>
      </c>
      <c r="I4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8" s="90" t="s">
        <v>5957</v>
      </c>
    </row>
    <row r="409" spans="1:11">
      <c r="A409" s="90" t="s">
        <v>7692</v>
      </c>
      <c r="B409" s="90" t="s">
        <v>7693</v>
      </c>
      <c r="C409" s="90" t="s">
        <v>10</v>
      </c>
      <c r="D409" s="90" t="str">
        <f>VLOOKUP(Tabela1[[#This Row],[Origem]],'Perguntas 1 a 24'!$J$28:$K$34,2,FALSE)</f>
        <v>Centro-Oeste</v>
      </c>
      <c r="E409" s="90" t="s">
        <v>11748</v>
      </c>
      <c r="F409" s="91">
        <v>45692</v>
      </c>
      <c r="G409" s="92">
        <v>70762</v>
      </c>
      <c r="H409" s="90" t="s">
        <v>14</v>
      </c>
      <c r="I4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09" s="90" t="s">
        <v>7693</v>
      </c>
    </row>
    <row r="410" spans="1:11">
      <c r="A410" s="90" t="s">
        <v>9749</v>
      </c>
      <c r="B410" s="90" t="s">
        <v>9750</v>
      </c>
      <c r="C410" s="90" t="s">
        <v>16</v>
      </c>
      <c r="D410" s="90" t="str">
        <f>VLOOKUP(Tabela1[[#This Row],[Origem]],'Perguntas 1 a 24'!$J$28:$K$34,2,FALSE)</f>
        <v>Sudeste</v>
      </c>
      <c r="E410" s="90" t="s">
        <v>11749</v>
      </c>
      <c r="F410" s="91">
        <v>45692</v>
      </c>
      <c r="G410" s="92">
        <v>73434</v>
      </c>
      <c r="H410" s="90" t="s">
        <v>14</v>
      </c>
      <c r="I4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10" s="90" t="s">
        <v>9750</v>
      </c>
    </row>
    <row r="411" spans="1:11">
      <c r="A411" s="90" t="s">
        <v>9829</v>
      </c>
      <c r="B411" s="90" t="s">
        <v>9830</v>
      </c>
      <c r="C411" s="90" t="s">
        <v>12</v>
      </c>
      <c r="D411" s="90" t="str">
        <f>VLOOKUP(Tabela1[[#This Row],[Origem]],'Perguntas 1 a 24'!$J$28:$K$34,2,FALSE)</f>
        <v>Sudeste</v>
      </c>
      <c r="E411" s="90" t="s">
        <v>11750</v>
      </c>
      <c r="F411" s="91">
        <v>45692</v>
      </c>
      <c r="G411" s="92">
        <v>31603</v>
      </c>
      <c r="H411" s="90" t="s">
        <v>11</v>
      </c>
      <c r="I4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11" s="90" t="s">
        <v>9830</v>
      </c>
    </row>
    <row r="412" spans="1:11">
      <c r="A412" s="90" t="s">
        <v>11066</v>
      </c>
      <c r="B412" s="90" t="s">
        <v>11067</v>
      </c>
      <c r="C412" s="90" t="s">
        <v>15</v>
      </c>
      <c r="D412" s="90" t="str">
        <f>VLOOKUP(Tabela1[[#This Row],[Origem]],'Perguntas 1 a 24'!$J$28:$K$34,2,FALSE)</f>
        <v>Sudeste</v>
      </c>
      <c r="E412" s="90" t="s">
        <v>11751</v>
      </c>
      <c r="F412" s="91">
        <v>45692</v>
      </c>
      <c r="G412" s="92">
        <v>37474</v>
      </c>
      <c r="H412" s="90" t="s">
        <v>11</v>
      </c>
      <c r="I4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12" s="90" t="s">
        <v>11067</v>
      </c>
    </row>
    <row r="413" spans="1:11">
      <c r="A413" s="90" t="s">
        <v>4088</v>
      </c>
      <c r="B413" s="90" t="s">
        <v>4089</v>
      </c>
      <c r="C413" s="90" t="s">
        <v>15</v>
      </c>
      <c r="D413" s="90" t="str">
        <f>VLOOKUP(Tabela1[[#This Row],[Origem]],'Perguntas 1 a 24'!$J$28:$K$34,2,FALSE)</f>
        <v>Sudeste</v>
      </c>
      <c r="E413" s="90" t="s">
        <v>11752</v>
      </c>
      <c r="F413" s="91">
        <v>45693</v>
      </c>
      <c r="G413" s="92">
        <v>95102</v>
      </c>
      <c r="H413" s="90" t="s">
        <v>9</v>
      </c>
      <c r="I4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13" s="90" t="s">
        <v>4089</v>
      </c>
    </row>
    <row r="414" spans="1:11">
      <c r="A414" s="90" t="s">
        <v>6014</v>
      </c>
      <c r="B414" s="90" t="s">
        <v>6015</v>
      </c>
      <c r="C414" s="90" t="s">
        <v>16</v>
      </c>
      <c r="D414" s="90" t="str">
        <f>VLOOKUP(Tabela1[[#This Row],[Origem]],'Perguntas 1 a 24'!$J$28:$K$34,2,FALSE)</f>
        <v>Sudeste</v>
      </c>
      <c r="E414" s="90" t="s">
        <v>11753</v>
      </c>
      <c r="F414" s="91">
        <v>45693</v>
      </c>
      <c r="G414" s="92">
        <v>27697</v>
      </c>
      <c r="H414" s="90" t="s">
        <v>11</v>
      </c>
      <c r="I4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14" s="90" t="s">
        <v>6015</v>
      </c>
    </row>
    <row r="415" spans="1:11">
      <c r="A415" s="90" t="s">
        <v>7128</v>
      </c>
      <c r="B415" s="90" t="s">
        <v>7129</v>
      </c>
      <c r="C415" s="90" t="s">
        <v>13</v>
      </c>
      <c r="D415" s="90" t="str">
        <f>VLOOKUP(Tabela1[[#This Row],[Origem]],'Perguntas 1 a 24'!$J$28:$K$34,2,FALSE)</f>
        <v>Sudeste</v>
      </c>
      <c r="E415" s="90" t="s">
        <v>11754</v>
      </c>
      <c r="F415" s="91">
        <v>45693</v>
      </c>
      <c r="G415" s="92">
        <v>52141</v>
      </c>
      <c r="H415" s="90" t="s">
        <v>14</v>
      </c>
      <c r="I4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15" s="90" t="s">
        <v>7129</v>
      </c>
    </row>
    <row r="416" spans="1:11">
      <c r="A416" s="90" t="s">
        <v>9833</v>
      </c>
      <c r="B416" s="90" t="s">
        <v>9834</v>
      </c>
      <c r="C416" s="90" t="s">
        <v>10</v>
      </c>
      <c r="D416" s="90" t="str">
        <f>VLOOKUP(Tabela1[[#This Row],[Origem]],'Perguntas 1 a 24'!$J$28:$K$34,2,FALSE)</f>
        <v>Centro-Oeste</v>
      </c>
      <c r="E416" s="90" t="s">
        <v>11755</v>
      </c>
      <c r="F416" s="91">
        <v>45693</v>
      </c>
      <c r="G416" s="92">
        <v>48330</v>
      </c>
      <c r="H416" s="90" t="s">
        <v>14</v>
      </c>
      <c r="I4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16" s="90" t="s">
        <v>9834</v>
      </c>
    </row>
    <row r="417" spans="1:11">
      <c r="A417" s="90" t="s">
        <v>10329</v>
      </c>
      <c r="B417" s="90" t="s">
        <v>10330</v>
      </c>
      <c r="C417" s="90" t="s">
        <v>8</v>
      </c>
      <c r="D417" s="90" t="str">
        <f>VLOOKUP(Tabela1[[#This Row],[Origem]],'Perguntas 1 a 24'!$J$28:$K$34,2,FALSE)</f>
        <v>Nordeste</v>
      </c>
      <c r="E417" s="90" t="s">
        <v>11756</v>
      </c>
      <c r="F417" s="91">
        <v>45693</v>
      </c>
      <c r="G417" s="92">
        <v>23264</v>
      </c>
      <c r="H417" s="90" t="s">
        <v>7</v>
      </c>
      <c r="I4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17" s="90" t="s">
        <v>10330</v>
      </c>
    </row>
    <row r="418" spans="1:11">
      <c r="A418" s="90" t="s">
        <v>6542</v>
      </c>
      <c r="B418" s="90" t="s">
        <v>6543</v>
      </c>
      <c r="C418" s="90" t="s">
        <v>12</v>
      </c>
      <c r="D418" s="90" t="str">
        <f>VLOOKUP(Tabela1[[#This Row],[Origem]],'Perguntas 1 a 24'!$J$28:$K$34,2,FALSE)</f>
        <v>Sudeste</v>
      </c>
      <c r="E418" s="90" t="s">
        <v>11757</v>
      </c>
      <c r="F418" s="91">
        <v>45694</v>
      </c>
      <c r="G418" s="92">
        <v>71769</v>
      </c>
      <c r="H418" s="90" t="s">
        <v>9</v>
      </c>
      <c r="I4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18" s="90" t="s">
        <v>6543</v>
      </c>
    </row>
    <row r="419" spans="1:11">
      <c r="A419" s="90" t="s">
        <v>7530</v>
      </c>
      <c r="B419" s="90" t="s">
        <v>7531</v>
      </c>
      <c r="C419" s="90" t="s">
        <v>15</v>
      </c>
      <c r="D419" s="90" t="str">
        <f>VLOOKUP(Tabela1[[#This Row],[Origem]],'Perguntas 1 a 24'!$J$28:$K$34,2,FALSE)</f>
        <v>Sudeste</v>
      </c>
      <c r="E419" s="90" t="s">
        <v>11758</v>
      </c>
      <c r="F419" s="91">
        <v>45694</v>
      </c>
      <c r="G419" s="92">
        <v>56883</v>
      </c>
      <c r="H419" s="90" t="s">
        <v>7</v>
      </c>
      <c r="I4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19" s="90" t="s">
        <v>7531</v>
      </c>
    </row>
    <row r="420" spans="1:11">
      <c r="A420" s="90" t="s">
        <v>10909</v>
      </c>
      <c r="B420" s="90" t="s">
        <v>10910</v>
      </c>
      <c r="C420" s="90" t="s">
        <v>13</v>
      </c>
      <c r="D420" s="90" t="str">
        <f>VLOOKUP(Tabela1[[#This Row],[Origem]],'Perguntas 1 a 24'!$J$28:$K$34,2,FALSE)</f>
        <v>Sudeste</v>
      </c>
      <c r="E420" s="90" t="s">
        <v>11759</v>
      </c>
      <c r="F420" s="91">
        <v>45695</v>
      </c>
      <c r="G420" s="92">
        <v>77232</v>
      </c>
      <c r="H420" s="90" t="s">
        <v>14</v>
      </c>
      <c r="I4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0" s="90" t="s">
        <v>10910</v>
      </c>
    </row>
    <row r="421" spans="1:11">
      <c r="A421" s="90" t="s">
        <v>8751</v>
      </c>
      <c r="B421" s="90" t="s">
        <v>8752</v>
      </c>
      <c r="C421" s="90" t="s">
        <v>13</v>
      </c>
      <c r="D421" s="90" t="str">
        <f>VLOOKUP(Tabela1[[#This Row],[Origem]],'Perguntas 1 a 24'!$J$28:$K$34,2,FALSE)</f>
        <v>Sudeste</v>
      </c>
      <c r="E421" s="90" t="s">
        <v>11760</v>
      </c>
      <c r="F421" s="91">
        <v>45696</v>
      </c>
      <c r="G421" s="92">
        <v>78492</v>
      </c>
      <c r="H421" s="90" t="s">
        <v>11</v>
      </c>
      <c r="I4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1" s="90" t="s">
        <v>8752</v>
      </c>
    </row>
    <row r="422" spans="1:11">
      <c r="A422" s="90" t="s">
        <v>9153</v>
      </c>
      <c r="B422" s="90" t="s">
        <v>9154</v>
      </c>
      <c r="C422" s="90" t="s">
        <v>8</v>
      </c>
      <c r="D422" s="90" t="str">
        <f>VLOOKUP(Tabela1[[#This Row],[Origem]],'Perguntas 1 a 24'!$J$28:$K$34,2,FALSE)</f>
        <v>Nordeste</v>
      </c>
      <c r="E422" s="90" t="s">
        <v>11761</v>
      </c>
      <c r="F422" s="91">
        <v>45696</v>
      </c>
      <c r="G422" s="92">
        <v>83878</v>
      </c>
      <c r="H422" s="90" t="s">
        <v>7</v>
      </c>
      <c r="I4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2" s="90" t="s">
        <v>9154</v>
      </c>
    </row>
    <row r="423" spans="1:11">
      <c r="A423" s="90" t="s">
        <v>11299</v>
      </c>
      <c r="B423" s="90" t="s">
        <v>11300</v>
      </c>
      <c r="C423" s="90" t="s">
        <v>10</v>
      </c>
      <c r="D423" s="90" t="str">
        <f>VLOOKUP(Tabela1[[#This Row],[Origem]],'Perguntas 1 a 24'!$J$28:$K$34,2,FALSE)</f>
        <v>Centro-Oeste</v>
      </c>
      <c r="E423" s="90" t="s">
        <v>11762</v>
      </c>
      <c r="F423" s="91">
        <v>45696</v>
      </c>
      <c r="G423" s="92">
        <v>107484</v>
      </c>
      <c r="H423" s="90" t="s">
        <v>9</v>
      </c>
      <c r="I4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3" s="90" t="s">
        <v>11300</v>
      </c>
    </row>
    <row r="424" spans="1:11">
      <c r="A424" s="90" t="s">
        <v>4180</v>
      </c>
      <c r="B424" s="90" t="s">
        <v>4181</v>
      </c>
      <c r="C424" s="90" t="s">
        <v>8</v>
      </c>
      <c r="D424" s="90" t="str">
        <f>VLOOKUP(Tabela1[[#This Row],[Origem]],'Perguntas 1 a 24'!$J$28:$K$34,2,FALSE)</f>
        <v>Nordeste</v>
      </c>
      <c r="E424" s="90" t="s">
        <v>11763</v>
      </c>
      <c r="F424" s="91">
        <v>45698</v>
      </c>
      <c r="G424" s="92">
        <v>93083</v>
      </c>
      <c r="H424" s="90" t="s">
        <v>14</v>
      </c>
      <c r="I4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4" s="90" t="s">
        <v>4181</v>
      </c>
    </row>
    <row r="425" spans="1:11">
      <c r="A425" s="90" t="s">
        <v>8124</v>
      </c>
      <c r="B425" s="90" t="s">
        <v>8125</v>
      </c>
      <c r="C425" s="90" t="s">
        <v>13</v>
      </c>
      <c r="D425" s="90" t="str">
        <f>VLOOKUP(Tabela1[[#This Row],[Origem]],'Perguntas 1 a 24'!$J$28:$K$34,2,FALSE)</f>
        <v>Sudeste</v>
      </c>
      <c r="E425" s="90" t="s">
        <v>11764</v>
      </c>
      <c r="F425" s="91">
        <v>45698</v>
      </c>
      <c r="G425" s="92">
        <v>57242</v>
      </c>
      <c r="H425" s="90" t="s">
        <v>14</v>
      </c>
      <c r="I4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5" s="90" t="s">
        <v>8125</v>
      </c>
    </row>
    <row r="426" spans="1:11">
      <c r="A426" s="90" t="s">
        <v>11221</v>
      </c>
      <c r="B426" s="90" t="s">
        <v>11222</v>
      </c>
      <c r="C426" s="90" t="s">
        <v>8</v>
      </c>
      <c r="D426" s="90" t="str">
        <f>VLOOKUP(Tabela1[[#This Row],[Origem]],'Perguntas 1 a 24'!$J$28:$K$34,2,FALSE)</f>
        <v>Nordeste</v>
      </c>
      <c r="E426" s="90" t="s">
        <v>11765</v>
      </c>
      <c r="F426" s="91">
        <v>45698</v>
      </c>
      <c r="G426" s="92">
        <v>89066</v>
      </c>
      <c r="H426" s="90" t="s">
        <v>11</v>
      </c>
      <c r="I4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6" s="90" t="s">
        <v>11222</v>
      </c>
    </row>
    <row r="427" spans="1:11">
      <c r="A427" s="90" t="s">
        <v>6386</v>
      </c>
      <c r="B427" s="90" t="s">
        <v>6387</v>
      </c>
      <c r="C427" s="90" t="s">
        <v>10</v>
      </c>
      <c r="D427" s="90" t="str">
        <f>VLOOKUP(Tabela1[[#This Row],[Origem]],'Perguntas 1 a 24'!$J$28:$K$34,2,FALSE)</f>
        <v>Centro-Oeste</v>
      </c>
      <c r="E427" s="90" t="s">
        <v>11766</v>
      </c>
      <c r="F427" s="91">
        <v>45700</v>
      </c>
      <c r="G427" s="92">
        <v>55479</v>
      </c>
      <c r="H427" s="90" t="s">
        <v>11</v>
      </c>
      <c r="I4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7" s="90" t="s">
        <v>6387</v>
      </c>
    </row>
    <row r="428" spans="1:11">
      <c r="A428" s="90" t="s">
        <v>8178</v>
      </c>
      <c r="B428" s="90" t="s">
        <v>8179</v>
      </c>
      <c r="C428" s="90" t="s">
        <v>13</v>
      </c>
      <c r="D428" s="90" t="str">
        <f>VLOOKUP(Tabela1[[#This Row],[Origem]],'Perguntas 1 a 24'!$J$28:$K$34,2,FALSE)</f>
        <v>Sudeste</v>
      </c>
      <c r="E428" s="90" t="s">
        <v>11767</v>
      </c>
      <c r="F428" s="91">
        <v>45700</v>
      </c>
      <c r="G428" s="92">
        <v>47802</v>
      </c>
      <c r="H428" s="90" t="s">
        <v>9</v>
      </c>
      <c r="I4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28" s="90" t="s">
        <v>8179</v>
      </c>
    </row>
    <row r="429" spans="1:11">
      <c r="A429" s="90" t="s">
        <v>10817</v>
      </c>
      <c r="B429" s="90" t="s">
        <v>10818</v>
      </c>
      <c r="C429" s="90" t="s">
        <v>16</v>
      </c>
      <c r="D429" s="90" t="str">
        <f>VLOOKUP(Tabela1[[#This Row],[Origem]],'Perguntas 1 a 24'!$J$28:$K$34,2,FALSE)</f>
        <v>Sudeste</v>
      </c>
      <c r="E429" s="90" t="s">
        <v>11768</v>
      </c>
      <c r="F429" s="91">
        <v>45700</v>
      </c>
      <c r="G429" s="92">
        <v>76212</v>
      </c>
      <c r="H429" s="90" t="s">
        <v>14</v>
      </c>
      <c r="I4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29" s="90" t="s">
        <v>10818</v>
      </c>
    </row>
    <row r="430" spans="1:11">
      <c r="A430" s="90" t="s">
        <v>3960</v>
      </c>
      <c r="B430" s="90" t="s">
        <v>3961</v>
      </c>
      <c r="C430" s="90" t="s">
        <v>6</v>
      </c>
      <c r="D430" s="90" t="str">
        <f>VLOOKUP(Tabela1[[#This Row],[Origem]],'Perguntas 1 a 24'!$J$28:$K$34,2,FALSE)</f>
        <v>Nordeste</v>
      </c>
      <c r="E430" s="90" t="s">
        <v>11769</v>
      </c>
      <c r="F430" s="91">
        <v>45701</v>
      </c>
      <c r="G430" s="92">
        <v>106268</v>
      </c>
      <c r="H430" s="90" t="s">
        <v>7</v>
      </c>
      <c r="I4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30" s="90" t="s">
        <v>3961</v>
      </c>
    </row>
    <row r="431" spans="1:11">
      <c r="A431" s="90" t="s">
        <v>9971</v>
      </c>
      <c r="B431" s="90" t="s">
        <v>9972</v>
      </c>
      <c r="C431" s="90" t="s">
        <v>8</v>
      </c>
      <c r="D431" s="90" t="str">
        <f>VLOOKUP(Tabela1[[#This Row],[Origem]],'Perguntas 1 a 24'!$J$28:$K$34,2,FALSE)</f>
        <v>Nordeste</v>
      </c>
      <c r="E431" s="90" t="s">
        <v>11770</v>
      </c>
      <c r="F431" s="91">
        <v>45701</v>
      </c>
      <c r="G431" s="92">
        <v>33966</v>
      </c>
      <c r="H431" s="90" t="s">
        <v>7</v>
      </c>
      <c r="I4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31" s="90" t="s">
        <v>9972</v>
      </c>
    </row>
    <row r="432" spans="1:11">
      <c r="A432" s="90" t="s">
        <v>7044</v>
      </c>
      <c r="B432" s="90" t="s">
        <v>7045</v>
      </c>
      <c r="C432" s="90" t="s">
        <v>16</v>
      </c>
      <c r="D432" s="90" t="str">
        <f>VLOOKUP(Tabela1[[#This Row],[Origem]],'Perguntas 1 a 24'!$J$28:$K$34,2,FALSE)</f>
        <v>Sudeste</v>
      </c>
      <c r="E432" s="90" t="s">
        <v>11771</v>
      </c>
      <c r="F432" s="91">
        <v>45704</v>
      </c>
      <c r="G432" s="92">
        <v>53167</v>
      </c>
      <c r="H432" s="90" t="s">
        <v>11</v>
      </c>
      <c r="I4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32" s="90" t="s">
        <v>7045</v>
      </c>
    </row>
    <row r="433" spans="1:11">
      <c r="A433" s="90" t="s">
        <v>7546</v>
      </c>
      <c r="B433" s="90" t="s">
        <v>7547</v>
      </c>
      <c r="C433" s="90" t="s">
        <v>13</v>
      </c>
      <c r="D433" s="90" t="str">
        <f>VLOOKUP(Tabela1[[#This Row],[Origem]],'Perguntas 1 a 24'!$J$28:$K$34,2,FALSE)</f>
        <v>Sudeste</v>
      </c>
      <c r="E433" s="90" t="s">
        <v>11772</v>
      </c>
      <c r="F433" s="91">
        <v>45705</v>
      </c>
      <c r="G433" s="92">
        <v>99661</v>
      </c>
      <c r="H433" s="90" t="s">
        <v>11</v>
      </c>
      <c r="I4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33" s="90" t="s">
        <v>7547</v>
      </c>
    </row>
    <row r="434" spans="1:11">
      <c r="A434" s="90" t="s">
        <v>9957</v>
      </c>
      <c r="B434" s="90" t="s">
        <v>9958</v>
      </c>
      <c r="C434" s="90" t="s">
        <v>10</v>
      </c>
      <c r="D434" s="90" t="str">
        <f>VLOOKUP(Tabela1[[#This Row],[Origem]],'Perguntas 1 a 24'!$J$28:$K$34,2,FALSE)</f>
        <v>Centro-Oeste</v>
      </c>
      <c r="E434" s="90" t="s">
        <v>11773</v>
      </c>
      <c r="F434" s="91">
        <v>45707</v>
      </c>
      <c r="G434" s="92">
        <v>90600</v>
      </c>
      <c r="H434" s="90" t="s">
        <v>9</v>
      </c>
      <c r="I4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34" s="90" t="s">
        <v>9958</v>
      </c>
    </row>
    <row r="435" spans="1:11">
      <c r="A435" s="90" t="s">
        <v>7364</v>
      </c>
      <c r="B435" s="90" t="s">
        <v>7365</v>
      </c>
      <c r="C435" s="90" t="s">
        <v>10</v>
      </c>
      <c r="D435" s="90" t="str">
        <f>VLOOKUP(Tabela1[[#This Row],[Origem]],'Perguntas 1 a 24'!$J$28:$K$34,2,FALSE)</f>
        <v>Centro-Oeste</v>
      </c>
      <c r="E435" s="90" t="s">
        <v>11774</v>
      </c>
      <c r="F435" s="91">
        <v>45709</v>
      </c>
      <c r="G435" s="92">
        <v>40794</v>
      </c>
      <c r="H435" s="90" t="s">
        <v>11</v>
      </c>
      <c r="I4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35" s="90" t="s">
        <v>7365</v>
      </c>
    </row>
    <row r="436" spans="1:11">
      <c r="A436" s="90" t="s">
        <v>9295</v>
      </c>
      <c r="B436" s="90" t="s">
        <v>9296</v>
      </c>
      <c r="C436" s="90" t="s">
        <v>8</v>
      </c>
      <c r="D436" s="90" t="str">
        <f>VLOOKUP(Tabela1[[#This Row],[Origem]],'Perguntas 1 a 24'!$J$28:$K$34,2,FALSE)</f>
        <v>Nordeste</v>
      </c>
      <c r="E436" s="90" t="s">
        <v>11775</v>
      </c>
      <c r="F436" s="91">
        <v>45709</v>
      </c>
      <c r="G436" s="92">
        <v>112369</v>
      </c>
      <c r="H436" s="90" t="s">
        <v>11</v>
      </c>
      <c r="I4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36" s="90" t="s">
        <v>9296</v>
      </c>
    </row>
    <row r="437" spans="1:11">
      <c r="A437" s="90" t="s">
        <v>9441</v>
      </c>
      <c r="B437" s="90" t="s">
        <v>9442</v>
      </c>
      <c r="C437" s="90" t="s">
        <v>12</v>
      </c>
      <c r="D437" s="90" t="str">
        <f>VLOOKUP(Tabela1[[#This Row],[Origem]],'Perguntas 1 a 24'!$J$28:$K$34,2,FALSE)</f>
        <v>Sudeste</v>
      </c>
      <c r="E437" s="90" t="s">
        <v>11776</v>
      </c>
      <c r="F437" s="91">
        <v>45709</v>
      </c>
      <c r="G437" s="92">
        <v>79459</v>
      </c>
      <c r="H437" s="90" t="s">
        <v>9</v>
      </c>
      <c r="I4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37" s="90" t="s">
        <v>9442</v>
      </c>
    </row>
    <row r="438" spans="1:11">
      <c r="A438" s="90" t="s">
        <v>6910</v>
      </c>
      <c r="B438" s="90" t="s">
        <v>6911</v>
      </c>
      <c r="C438" s="90" t="s">
        <v>16</v>
      </c>
      <c r="D438" s="90" t="str">
        <f>VLOOKUP(Tabela1[[#This Row],[Origem]],'Perguntas 1 a 24'!$J$28:$K$34,2,FALSE)</f>
        <v>Sudeste</v>
      </c>
      <c r="E438" s="90" t="s">
        <v>11777</v>
      </c>
      <c r="F438" s="91">
        <v>45710</v>
      </c>
      <c r="G438" s="92">
        <v>112385</v>
      </c>
      <c r="H438" s="90" t="s">
        <v>11</v>
      </c>
      <c r="I4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38" s="90" t="s">
        <v>6911</v>
      </c>
    </row>
    <row r="439" spans="1:11">
      <c r="A439" s="90" t="s">
        <v>11082</v>
      </c>
      <c r="B439" s="90" t="s">
        <v>11083</v>
      </c>
      <c r="C439" s="90" t="s">
        <v>8</v>
      </c>
      <c r="D439" s="90" t="str">
        <f>VLOOKUP(Tabela1[[#This Row],[Origem]],'Perguntas 1 a 24'!$J$28:$K$34,2,FALSE)</f>
        <v>Nordeste</v>
      </c>
      <c r="E439" s="90" t="s">
        <v>11778</v>
      </c>
      <c r="F439" s="91">
        <v>45710</v>
      </c>
      <c r="G439" s="92">
        <v>66015</v>
      </c>
      <c r="H439" s="90" t="s">
        <v>11</v>
      </c>
      <c r="I4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39" s="90" t="s">
        <v>11083</v>
      </c>
    </row>
    <row r="440" spans="1:11">
      <c r="A440" s="90" t="s">
        <v>7018</v>
      </c>
      <c r="B440" s="90" t="s">
        <v>7019</v>
      </c>
      <c r="C440" s="90" t="s">
        <v>10</v>
      </c>
      <c r="D440" s="90" t="str">
        <f>VLOOKUP(Tabela1[[#This Row],[Origem]],'Perguntas 1 a 24'!$J$28:$K$34,2,FALSE)</f>
        <v>Centro-Oeste</v>
      </c>
      <c r="E440" s="90" t="s">
        <v>11779</v>
      </c>
      <c r="F440" s="91">
        <v>45711</v>
      </c>
      <c r="G440" s="92">
        <v>30341</v>
      </c>
      <c r="H440" s="90" t="s">
        <v>11</v>
      </c>
      <c r="I4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40" s="90" t="s">
        <v>7019</v>
      </c>
    </row>
    <row r="441" spans="1:11">
      <c r="A441" s="90" t="s">
        <v>9913</v>
      </c>
      <c r="B441" s="90" t="s">
        <v>9914</v>
      </c>
      <c r="C441" s="90" t="s">
        <v>16</v>
      </c>
      <c r="D441" s="90" t="str">
        <f>VLOOKUP(Tabela1[[#This Row],[Origem]],'Perguntas 1 a 24'!$J$28:$K$34,2,FALSE)</f>
        <v>Sudeste</v>
      </c>
      <c r="E441" s="90" t="s">
        <v>11780</v>
      </c>
      <c r="F441" s="91">
        <v>45711</v>
      </c>
      <c r="G441" s="92">
        <v>26952</v>
      </c>
      <c r="H441" s="90" t="s">
        <v>14</v>
      </c>
      <c r="I4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41" s="90" t="s">
        <v>9914</v>
      </c>
    </row>
    <row r="442" spans="1:11">
      <c r="A442" s="90" t="s">
        <v>6858</v>
      </c>
      <c r="B442" s="90" t="s">
        <v>6859</v>
      </c>
      <c r="C442" s="90" t="s">
        <v>6</v>
      </c>
      <c r="D442" s="90" t="str">
        <f>VLOOKUP(Tabela1[[#This Row],[Origem]],'Perguntas 1 a 24'!$J$28:$K$34,2,FALSE)</f>
        <v>Nordeste</v>
      </c>
      <c r="E442" s="90" t="s">
        <v>11781</v>
      </c>
      <c r="F442" s="91">
        <v>45712</v>
      </c>
      <c r="G442" s="92">
        <v>49891</v>
      </c>
      <c r="H442" s="90" t="s">
        <v>9</v>
      </c>
      <c r="I4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42" s="90" t="s">
        <v>6859</v>
      </c>
    </row>
    <row r="443" spans="1:11">
      <c r="A443" s="90" t="s">
        <v>5056</v>
      </c>
      <c r="B443" s="90" t="s">
        <v>5057</v>
      </c>
      <c r="C443" s="90" t="s">
        <v>8</v>
      </c>
      <c r="D443" s="90" t="str">
        <f>VLOOKUP(Tabela1[[#This Row],[Origem]],'Perguntas 1 a 24'!$J$28:$K$34,2,FALSE)</f>
        <v>Nordeste</v>
      </c>
      <c r="E443" s="90" t="s">
        <v>11782</v>
      </c>
      <c r="F443" s="91">
        <v>45713</v>
      </c>
      <c r="G443" s="92">
        <v>54121</v>
      </c>
      <c r="H443" s="90" t="s">
        <v>7</v>
      </c>
      <c r="I4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43" s="90" t="s">
        <v>5057</v>
      </c>
    </row>
    <row r="444" spans="1:11">
      <c r="A444" s="90" t="s">
        <v>7226</v>
      </c>
      <c r="B444" s="90" t="s">
        <v>7227</v>
      </c>
      <c r="C444" s="90" t="s">
        <v>6</v>
      </c>
      <c r="D444" s="90" t="str">
        <f>VLOOKUP(Tabela1[[#This Row],[Origem]],'Perguntas 1 a 24'!$J$28:$K$34,2,FALSE)</f>
        <v>Nordeste</v>
      </c>
      <c r="E444" s="90" t="s">
        <v>11783</v>
      </c>
      <c r="F444" s="91">
        <v>45713</v>
      </c>
      <c r="G444" s="92">
        <v>63405</v>
      </c>
      <c r="H444" s="90" t="s">
        <v>7</v>
      </c>
      <c r="I4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44" s="90" t="s">
        <v>7227</v>
      </c>
    </row>
    <row r="445" spans="1:11">
      <c r="A445" s="90" t="s">
        <v>9767</v>
      </c>
      <c r="B445" s="90" t="s">
        <v>9768</v>
      </c>
      <c r="C445" s="90" t="s">
        <v>16</v>
      </c>
      <c r="D445" s="90" t="str">
        <f>VLOOKUP(Tabela1[[#This Row],[Origem]],'Perguntas 1 a 24'!$J$28:$K$34,2,FALSE)</f>
        <v>Sudeste</v>
      </c>
      <c r="E445" s="90" t="s">
        <v>11784</v>
      </c>
      <c r="F445" s="91">
        <v>45713</v>
      </c>
      <c r="G445" s="92">
        <v>109822</v>
      </c>
      <c r="H445" s="90" t="s">
        <v>11</v>
      </c>
      <c r="I4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45" s="90" t="s">
        <v>9768</v>
      </c>
    </row>
    <row r="446" spans="1:11">
      <c r="A446" s="90" t="s">
        <v>10045</v>
      </c>
      <c r="B446" s="90" t="s">
        <v>10046</v>
      </c>
      <c r="C446" s="90" t="s">
        <v>16</v>
      </c>
      <c r="D446" s="90" t="str">
        <f>VLOOKUP(Tabela1[[#This Row],[Origem]],'Perguntas 1 a 24'!$J$28:$K$34,2,FALSE)</f>
        <v>Sudeste</v>
      </c>
      <c r="E446" s="90" t="s">
        <v>11785</v>
      </c>
      <c r="F446" s="91">
        <v>45713</v>
      </c>
      <c r="G446" s="92">
        <v>29060</v>
      </c>
      <c r="H446" s="90" t="s">
        <v>9</v>
      </c>
      <c r="I4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46" s="90" t="s">
        <v>10046</v>
      </c>
    </row>
    <row r="447" spans="1:11">
      <c r="A447" s="90" t="s">
        <v>11119</v>
      </c>
      <c r="B447" s="90" t="s">
        <v>11120</v>
      </c>
      <c r="C447" s="90" t="s">
        <v>13</v>
      </c>
      <c r="D447" s="90" t="str">
        <f>VLOOKUP(Tabela1[[#This Row],[Origem]],'Perguntas 1 a 24'!$J$28:$K$34,2,FALSE)</f>
        <v>Sudeste</v>
      </c>
      <c r="E447" s="90" t="s">
        <v>11786</v>
      </c>
      <c r="F447" s="91">
        <v>45713</v>
      </c>
      <c r="G447" s="92">
        <v>108943</v>
      </c>
      <c r="H447" s="90" t="s">
        <v>9</v>
      </c>
      <c r="I4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47" s="90" t="s">
        <v>11120</v>
      </c>
    </row>
    <row r="448" spans="1:11">
      <c r="A448" s="90" t="s">
        <v>9225</v>
      </c>
      <c r="B448" s="90" t="s">
        <v>9226</v>
      </c>
      <c r="C448" s="90" t="s">
        <v>10</v>
      </c>
      <c r="D448" s="90" t="str">
        <f>VLOOKUP(Tabela1[[#This Row],[Origem]],'Perguntas 1 a 24'!$J$28:$K$34,2,FALSE)</f>
        <v>Centro-Oeste</v>
      </c>
      <c r="E448" s="90" t="s">
        <v>11787</v>
      </c>
      <c r="F448" s="91">
        <v>45714</v>
      </c>
      <c r="G448" s="92">
        <v>30227</v>
      </c>
      <c r="H448" s="90" t="s">
        <v>7</v>
      </c>
      <c r="I4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48" s="90" t="s">
        <v>9226</v>
      </c>
    </row>
    <row r="449" spans="1:11">
      <c r="A449" s="90" t="s">
        <v>5094</v>
      </c>
      <c r="B449" s="90" t="s">
        <v>5095</v>
      </c>
      <c r="C449" s="90" t="s">
        <v>15</v>
      </c>
      <c r="D449" s="90" t="str">
        <f>VLOOKUP(Tabela1[[#This Row],[Origem]],'Perguntas 1 a 24'!$J$28:$K$34,2,FALSE)</f>
        <v>Sudeste</v>
      </c>
      <c r="E449" s="90" t="s">
        <v>11788</v>
      </c>
      <c r="F449" s="91">
        <v>45715</v>
      </c>
      <c r="G449" s="92">
        <v>42021</v>
      </c>
      <c r="H449" s="90" t="s">
        <v>11</v>
      </c>
      <c r="I4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49" s="90" t="s">
        <v>5095</v>
      </c>
    </row>
    <row r="450" spans="1:11">
      <c r="A450" s="90" t="s">
        <v>5462</v>
      </c>
      <c r="B450" s="90" t="s">
        <v>5463</v>
      </c>
      <c r="C450" s="90" t="s">
        <v>10</v>
      </c>
      <c r="D450" s="90" t="str">
        <f>VLOOKUP(Tabela1[[#This Row],[Origem]],'Perguntas 1 a 24'!$J$28:$K$34,2,FALSE)</f>
        <v>Centro-Oeste</v>
      </c>
      <c r="E450" s="90" t="s">
        <v>11789</v>
      </c>
      <c r="F450" s="91">
        <v>45715</v>
      </c>
      <c r="G450" s="92">
        <v>93224</v>
      </c>
      <c r="H450" s="90" t="s">
        <v>11</v>
      </c>
      <c r="I4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50" s="90" t="s">
        <v>5463</v>
      </c>
    </row>
    <row r="451" spans="1:11">
      <c r="A451" s="90" t="s">
        <v>5788</v>
      </c>
      <c r="B451" s="90" t="s">
        <v>5789</v>
      </c>
      <c r="C451" s="90" t="s">
        <v>16</v>
      </c>
      <c r="D451" s="90" t="str">
        <f>VLOOKUP(Tabela1[[#This Row],[Origem]],'Perguntas 1 a 24'!$J$28:$K$34,2,FALSE)</f>
        <v>Sudeste</v>
      </c>
      <c r="E451" s="90" t="s">
        <v>11790</v>
      </c>
      <c r="F451" s="91">
        <v>45716</v>
      </c>
      <c r="G451" s="92">
        <v>35315</v>
      </c>
      <c r="H451" s="90" t="s">
        <v>14</v>
      </c>
      <c r="I4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51" s="90" t="s">
        <v>5789</v>
      </c>
    </row>
    <row r="452" spans="1:11">
      <c r="A452" s="90" t="s">
        <v>4992</v>
      </c>
      <c r="B452" s="90" t="s">
        <v>4993</v>
      </c>
      <c r="C452" s="90" t="s">
        <v>12</v>
      </c>
      <c r="D452" s="90" t="str">
        <f>VLOOKUP(Tabela1[[#This Row],[Origem]],'Perguntas 1 a 24'!$J$28:$K$34,2,FALSE)</f>
        <v>Sudeste</v>
      </c>
      <c r="E452" s="90" t="s">
        <v>11791</v>
      </c>
      <c r="F452" s="91">
        <v>45717</v>
      </c>
      <c r="G452" s="92">
        <v>49040</v>
      </c>
      <c r="H452" s="90" t="s">
        <v>7</v>
      </c>
      <c r="I4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52" s="90" t="s">
        <v>4993</v>
      </c>
    </row>
    <row r="453" spans="1:11">
      <c r="A453" s="90" t="s">
        <v>6302</v>
      </c>
      <c r="B453" s="90" t="s">
        <v>6303</v>
      </c>
      <c r="C453" s="90" t="s">
        <v>8</v>
      </c>
      <c r="D453" s="90" t="str">
        <f>VLOOKUP(Tabela1[[#This Row],[Origem]],'Perguntas 1 a 24'!$J$28:$K$34,2,FALSE)</f>
        <v>Nordeste</v>
      </c>
      <c r="E453" s="90" t="s">
        <v>11792</v>
      </c>
      <c r="F453" s="91">
        <v>45717</v>
      </c>
      <c r="G453" s="92">
        <v>45503</v>
      </c>
      <c r="H453" s="90" t="s">
        <v>11</v>
      </c>
      <c r="I4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53" s="90" t="s">
        <v>6303</v>
      </c>
    </row>
    <row r="454" spans="1:11">
      <c r="A454" s="90" t="s">
        <v>7510</v>
      </c>
      <c r="B454" s="90" t="s">
        <v>7511</v>
      </c>
      <c r="C454" s="90" t="s">
        <v>16</v>
      </c>
      <c r="D454" s="90" t="str">
        <f>VLOOKUP(Tabela1[[#This Row],[Origem]],'Perguntas 1 a 24'!$J$28:$K$34,2,FALSE)</f>
        <v>Sudeste</v>
      </c>
      <c r="E454" s="90" t="s">
        <v>11793</v>
      </c>
      <c r="F454" s="91">
        <v>45718</v>
      </c>
      <c r="G454" s="92">
        <v>97557</v>
      </c>
      <c r="H454" s="90" t="s">
        <v>9</v>
      </c>
      <c r="I4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54" s="90" t="s">
        <v>7511</v>
      </c>
    </row>
    <row r="455" spans="1:11">
      <c r="A455" s="90" t="s">
        <v>6432</v>
      </c>
      <c r="B455" s="90" t="s">
        <v>6433</v>
      </c>
      <c r="C455" s="90" t="s">
        <v>16</v>
      </c>
      <c r="D455" s="90" t="str">
        <f>VLOOKUP(Tabela1[[#This Row],[Origem]],'Perguntas 1 a 24'!$J$28:$K$34,2,FALSE)</f>
        <v>Sudeste</v>
      </c>
      <c r="E455" s="90" t="s">
        <v>11794</v>
      </c>
      <c r="F455" s="91">
        <v>45720</v>
      </c>
      <c r="G455" s="92">
        <v>46922</v>
      </c>
      <c r="H455" s="90" t="s">
        <v>7</v>
      </c>
      <c r="I4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55" s="90" t="s">
        <v>6433</v>
      </c>
    </row>
    <row r="456" spans="1:11">
      <c r="A456" s="90" t="s">
        <v>10741</v>
      </c>
      <c r="B456" s="90" t="s">
        <v>10742</v>
      </c>
      <c r="C456" s="90" t="s">
        <v>13</v>
      </c>
      <c r="D456" s="90" t="str">
        <f>VLOOKUP(Tabela1[[#This Row],[Origem]],'Perguntas 1 a 24'!$J$28:$K$34,2,FALSE)</f>
        <v>Sudeste</v>
      </c>
      <c r="E456" s="90" t="s">
        <v>11795</v>
      </c>
      <c r="F456" s="91">
        <v>45721</v>
      </c>
      <c r="G456" s="92">
        <v>33306</v>
      </c>
      <c r="H456" s="90" t="s">
        <v>11</v>
      </c>
      <c r="I4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56" s="90" t="s">
        <v>10742</v>
      </c>
    </row>
    <row r="457" spans="1:11">
      <c r="A457" s="90" t="s">
        <v>6800</v>
      </c>
      <c r="B457" s="90" t="s">
        <v>6801</v>
      </c>
      <c r="C457" s="90" t="s">
        <v>16</v>
      </c>
      <c r="D457" s="90" t="str">
        <f>VLOOKUP(Tabela1[[#This Row],[Origem]],'Perguntas 1 a 24'!$J$28:$K$34,2,FALSE)</f>
        <v>Sudeste</v>
      </c>
      <c r="E457" s="90" t="s">
        <v>11796</v>
      </c>
      <c r="F457" s="91">
        <v>45722</v>
      </c>
      <c r="G457" s="92">
        <v>119855</v>
      </c>
      <c r="H457" s="90" t="s">
        <v>11</v>
      </c>
      <c r="I4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57" s="90" t="s">
        <v>6801</v>
      </c>
    </row>
    <row r="458" spans="1:11">
      <c r="A458" s="90" t="s">
        <v>8545</v>
      </c>
      <c r="B458" s="90" t="s">
        <v>8546</v>
      </c>
      <c r="C458" s="90" t="s">
        <v>8</v>
      </c>
      <c r="D458" s="90" t="str">
        <f>VLOOKUP(Tabela1[[#This Row],[Origem]],'Perguntas 1 a 24'!$J$28:$K$34,2,FALSE)</f>
        <v>Nordeste</v>
      </c>
      <c r="E458" s="90" t="s">
        <v>11797</v>
      </c>
      <c r="F458" s="91">
        <v>45722</v>
      </c>
      <c r="G458" s="92">
        <v>39048</v>
      </c>
      <c r="H458" s="90" t="s">
        <v>11</v>
      </c>
      <c r="I4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58" s="90" t="s">
        <v>8546</v>
      </c>
    </row>
    <row r="459" spans="1:11">
      <c r="A459" s="90" t="s">
        <v>7664</v>
      </c>
      <c r="B459" s="90" t="s">
        <v>7665</v>
      </c>
      <c r="C459" s="90" t="s">
        <v>12</v>
      </c>
      <c r="D459" s="90" t="str">
        <f>VLOOKUP(Tabela1[[#This Row],[Origem]],'Perguntas 1 a 24'!$J$28:$K$34,2,FALSE)</f>
        <v>Sudeste</v>
      </c>
      <c r="E459" s="90" t="s">
        <v>11798</v>
      </c>
      <c r="F459" s="91">
        <v>45723</v>
      </c>
      <c r="G459" s="92">
        <v>45151</v>
      </c>
      <c r="H459" s="90" t="s">
        <v>11</v>
      </c>
      <c r="I4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59" s="90" t="s">
        <v>7665</v>
      </c>
    </row>
    <row r="460" spans="1:11">
      <c r="A460" s="90" t="s">
        <v>10821</v>
      </c>
      <c r="B460" s="90" t="s">
        <v>10822</v>
      </c>
      <c r="C460" s="90" t="s">
        <v>13</v>
      </c>
      <c r="D460" s="90" t="str">
        <f>VLOOKUP(Tabela1[[#This Row],[Origem]],'Perguntas 1 a 24'!$J$28:$K$34,2,FALSE)</f>
        <v>Sudeste</v>
      </c>
      <c r="E460" s="90" t="s">
        <v>11799</v>
      </c>
      <c r="F460" s="91">
        <v>45723</v>
      </c>
      <c r="G460" s="92">
        <v>24667</v>
      </c>
      <c r="H460" s="90" t="s">
        <v>11</v>
      </c>
      <c r="I4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60" s="90" t="s">
        <v>10822</v>
      </c>
    </row>
    <row r="461" spans="1:11">
      <c r="A461" s="90" t="s">
        <v>6490</v>
      </c>
      <c r="B461" s="90" t="s">
        <v>6491</v>
      </c>
      <c r="C461" s="90" t="s">
        <v>16</v>
      </c>
      <c r="D461" s="90" t="str">
        <f>VLOOKUP(Tabela1[[#This Row],[Origem]],'Perguntas 1 a 24'!$J$28:$K$34,2,FALSE)</f>
        <v>Sudeste</v>
      </c>
      <c r="E461" s="90" t="s">
        <v>11800</v>
      </c>
      <c r="F461" s="91">
        <v>45726</v>
      </c>
      <c r="G461" s="92">
        <v>104331</v>
      </c>
      <c r="H461" s="90" t="s">
        <v>11</v>
      </c>
      <c r="I4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61" s="90" t="s">
        <v>6491</v>
      </c>
    </row>
    <row r="462" spans="1:11">
      <c r="A462" s="90" t="s">
        <v>4650</v>
      </c>
      <c r="B462" s="90" t="s">
        <v>4651</v>
      </c>
      <c r="C462" s="90" t="s">
        <v>15</v>
      </c>
      <c r="D462" s="90" t="str">
        <f>VLOOKUP(Tabela1[[#This Row],[Origem]],'Perguntas 1 a 24'!$J$28:$K$34,2,FALSE)</f>
        <v>Sudeste</v>
      </c>
      <c r="E462" s="90" t="s">
        <v>11801</v>
      </c>
      <c r="F462" s="91">
        <v>45727</v>
      </c>
      <c r="G462" s="92">
        <v>79029</v>
      </c>
      <c r="H462" s="90" t="s">
        <v>7</v>
      </c>
      <c r="I4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62" s="90" t="s">
        <v>4651</v>
      </c>
    </row>
    <row r="463" spans="1:11">
      <c r="A463" s="90" t="s">
        <v>11076</v>
      </c>
      <c r="B463" s="90" t="s">
        <v>11077</v>
      </c>
      <c r="C463" s="90" t="s">
        <v>16</v>
      </c>
      <c r="D463" s="90" t="str">
        <f>VLOOKUP(Tabela1[[#This Row],[Origem]],'Perguntas 1 a 24'!$J$28:$K$34,2,FALSE)</f>
        <v>Sudeste</v>
      </c>
      <c r="E463" s="90" t="s">
        <v>11802</v>
      </c>
      <c r="F463" s="91">
        <v>45727</v>
      </c>
      <c r="G463" s="92">
        <v>41094</v>
      </c>
      <c r="H463" s="90" t="s">
        <v>14</v>
      </c>
      <c r="I4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63" s="90" t="s">
        <v>11077</v>
      </c>
    </row>
    <row r="464" spans="1:11">
      <c r="A464" s="90" t="s">
        <v>4369</v>
      </c>
      <c r="B464" s="90" t="s">
        <v>4370</v>
      </c>
      <c r="C464" s="90" t="s">
        <v>10</v>
      </c>
      <c r="D464" s="90" t="str">
        <f>VLOOKUP(Tabela1[[#This Row],[Origem]],'Perguntas 1 a 24'!$J$28:$K$34,2,FALSE)</f>
        <v>Centro-Oeste</v>
      </c>
      <c r="E464" s="90" t="s">
        <v>11803</v>
      </c>
      <c r="F464" s="91">
        <v>45728</v>
      </c>
      <c r="G464" s="92">
        <v>22816</v>
      </c>
      <c r="H464" s="90" t="s">
        <v>7</v>
      </c>
      <c r="I4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64" s="90" t="s">
        <v>4370</v>
      </c>
    </row>
    <row r="465" spans="1:11">
      <c r="A465" s="90" t="s">
        <v>9661</v>
      </c>
      <c r="B465" s="90" t="s">
        <v>9662</v>
      </c>
      <c r="C465" s="90" t="s">
        <v>10</v>
      </c>
      <c r="D465" s="90" t="str">
        <f>VLOOKUP(Tabela1[[#This Row],[Origem]],'Perguntas 1 a 24'!$J$28:$K$34,2,FALSE)</f>
        <v>Centro-Oeste</v>
      </c>
      <c r="E465" s="90" t="s">
        <v>11804</v>
      </c>
      <c r="F465" s="91">
        <v>45728</v>
      </c>
      <c r="G465" s="92">
        <v>54739</v>
      </c>
      <c r="H465" s="90" t="s">
        <v>11</v>
      </c>
      <c r="I4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65" s="90" t="s">
        <v>9662</v>
      </c>
    </row>
    <row r="466" spans="1:11">
      <c r="A466" s="90" t="s">
        <v>10631</v>
      </c>
      <c r="B466" s="90" t="s">
        <v>10632</v>
      </c>
      <c r="C466" s="90" t="s">
        <v>10</v>
      </c>
      <c r="D466" s="90" t="str">
        <f>VLOOKUP(Tabela1[[#This Row],[Origem]],'Perguntas 1 a 24'!$J$28:$K$34,2,FALSE)</f>
        <v>Centro-Oeste</v>
      </c>
      <c r="E466" s="90" t="s">
        <v>11805</v>
      </c>
      <c r="F466" s="91">
        <v>45728</v>
      </c>
      <c r="G466" s="92">
        <v>101617</v>
      </c>
      <c r="H466" s="90" t="s">
        <v>9</v>
      </c>
      <c r="I4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66" s="90" t="s">
        <v>10632</v>
      </c>
    </row>
    <row r="467" spans="1:11">
      <c r="A467" s="90" t="s">
        <v>6900</v>
      </c>
      <c r="B467" s="90" t="s">
        <v>6901</v>
      </c>
      <c r="C467" s="90" t="s">
        <v>12</v>
      </c>
      <c r="D467" s="90" t="str">
        <f>VLOOKUP(Tabela1[[#This Row],[Origem]],'Perguntas 1 a 24'!$J$28:$K$34,2,FALSE)</f>
        <v>Sudeste</v>
      </c>
      <c r="E467" s="90" t="s">
        <v>11806</v>
      </c>
      <c r="F467" s="91">
        <v>45729</v>
      </c>
      <c r="G467" s="92">
        <v>52582</v>
      </c>
      <c r="H467" s="90" t="s">
        <v>11</v>
      </c>
      <c r="I4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67" s="90" t="s">
        <v>6901</v>
      </c>
    </row>
    <row r="468" spans="1:11">
      <c r="A468" s="90" t="s">
        <v>4176</v>
      </c>
      <c r="B468" s="90" t="s">
        <v>4177</v>
      </c>
      <c r="C468" s="90" t="s">
        <v>10</v>
      </c>
      <c r="D468" s="90" t="str">
        <f>VLOOKUP(Tabela1[[#This Row],[Origem]],'Perguntas 1 a 24'!$J$28:$K$34,2,FALSE)</f>
        <v>Centro-Oeste</v>
      </c>
      <c r="E468" s="90" t="s">
        <v>11807</v>
      </c>
      <c r="F468" s="91">
        <v>45730</v>
      </c>
      <c r="G468" s="92">
        <v>96891</v>
      </c>
      <c r="H468" s="90" t="s">
        <v>9</v>
      </c>
      <c r="I4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68" s="90" t="s">
        <v>4177</v>
      </c>
    </row>
    <row r="469" spans="1:11">
      <c r="A469" s="90" t="s">
        <v>4734</v>
      </c>
      <c r="B469" s="90" t="s">
        <v>4735</v>
      </c>
      <c r="C469" s="90" t="s">
        <v>6</v>
      </c>
      <c r="D469" s="90" t="str">
        <f>VLOOKUP(Tabela1[[#This Row],[Origem]],'Perguntas 1 a 24'!$J$28:$K$34,2,FALSE)</f>
        <v>Nordeste</v>
      </c>
      <c r="E469" s="90" t="s">
        <v>11808</v>
      </c>
      <c r="F469" s="91">
        <v>45730</v>
      </c>
      <c r="G469" s="92">
        <v>61130</v>
      </c>
      <c r="H469" s="90" t="s">
        <v>7</v>
      </c>
      <c r="I4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69" s="90" t="s">
        <v>4735</v>
      </c>
    </row>
    <row r="470" spans="1:11">
      <c r="A470" s="90" t="s">
        <v>5418</v>
      </c>
      <c r="B470" s="90" t="s">
        <v>5419</v>
      </c>
      <c r="C470" s="90" t="s">
        <v>10</v>
      </c>
      <c r="D470" s="90" t="str">
        <f>VLOOKUP(Tabela1[[#This Row],[Origem]],'Perguntas 1 a 24'!$J$28:$K$34,2,FALSE)</f>
        <v>Centro-Oeste</v>
      </c>
      <c r="E470" s="90" t="s">
        <v>11809</v>
      </c>
      <c r="F470" s="91">
        <v>45730</v>
      </c>
      <c r="G470" s="92">
        <v>103869</v>
      </c>
      <c r="H470" s="90" t="s">
        <v>11</v>
      </c>
      <c r="I4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0" s="90" t="s">
        <v>5419</v>
      </c>
    </row>
    <row r="471" spans="1:11">
      <c r="A471" s="90" t="s">
        <v>9861</v>
      </c>
      <c r="B471" s="90" t="s">
        <v>9862</v>
      </c>
      <c r="C471" s="90" t="s">
        <v>6</v>
      </c>
      <c r="D471" s="90" t="str">
        <f>VLOOKUP(Tabela1[[#This Row],[Origem]],'Perguntas 1 a 24'!$J$28:$K$34,2,FALSE)</f>
        <v>Nordeste</v>
      </c>
      <c r="E471" s="90" t="s">
        <v>11810</v>
      </c>
      <c r="F471" s="91">
        <v>45731</v>
      </c>
      <c r="G471" s="92">
        <v>76375</v>
      </c>
      <c r="H471" s="90" t="s">
        <v>14</v>
      </c>
      <c r="I4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1" s="90" t="s">
        <v>9862</v>
      </c>
    </row>
    <row r="472" spans="1:11">
      <c r="A472" s="90" t="s">
        <v>11313</v>
      </c>
      <c r="B472" s="90" t="s">
        <v>11314</v>
      </c>
      <c r="C472" s="90" t="s">
        <v>16</v>
      </c>
      <c r="D472" s="90" t="str">
        <f>VLOOKUP(Tabela1[[#This Row],[Origem]],'Perguntas 1 a 24'!$J$28:$K$34,2,FALSE)</f>
        <v>Sudeste</v>
      </c>
      <c r="E472" s="90" t="s">
        <v>11811</v>
      </c>
      <c r="F472" s="91">
        <v>45731</v>
      </c>
      <c r="G472" s="92">
        <v>103761</v>
      </c>
      <c r="H472" s="90" t="s">
        <v>9</v>
      </c>
      <c r="I4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2" s="90" t="s">
        <v>11314</v>
      </c>
    </row>
    <row r="473" spans="1:11">
      <c r="A473" s="90" t="s">
        <v>10457</v>
      </c>
      <c r="B473" s="90" t="s">
        <v>10458</v>
      </c>
      <c r="C473" s="90" t="s">
        <v>15</v>
      </c>
      <c r="D473" s="90" t="str">
        <f>VLOOKUP(Tabela1[[#This Row],[Origem]],'Perguntas 1 a 24'!$J$28:$K$34,2,FALSE)</f>
        <v>Sudeste</v>
      </c>
      <c r="E473" s="90" t="s">
        <v>11812</v>
      </c>
      <c r="F473" s="91">
        <v>45732</v>
      </c>
      <c r="G473" s="92">
        <v>99931</v>
      </c>
      <c r="H473" s="90" t="s">
        <v>14</v>
      </c>
      <c r="I4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3" s="90" t="s">
        <v>10458</v>
      </c>
    </row>
    <row r="474" spans="1:11">
      <c r="A474" s="90" t="s">
        <v>4110</v>
      </c>
      <c r="B474" s="90" t="s">
        <v>4111</v>
      </c>
      <c r="C474" s="90" t="s">
        <v>10</v>
      </c>
      <c r="D474" s="90" t="str">
        <f>VLOOKUP(Tabela1[[#This Row],[Origem]],'Perguntas 1 a 24'!$J$28:$K$34,2,FALSE)</f>
        <v>Centro-Oeste</v>
      </c>
      <c r="E474" s="90" t="s">
        <v>11813</v>
      </c>
      <c r="F474" s="91">
        <v>45733</v>
      </c>
      <c r="G474" s="92">
        <v>26740</v>
      </c>
      <c r="H474" s="90" t="s">
        <v>14</v>
      </c>
      <c r="I4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74" s="90" t="s">
        <v>4111</v>
      </c>
    </row>
    <row r="475" spans="1:11">
      <c r="A475" s="90" t="s">
        <v>4463</v>
      </c>
      <c r="B475" s="90" t="s">
        <v>4464</v>
      </c>
      <c r="C475" s="90" t="s">
        <v>12</v>
      </c>
      <c r="D475" s="90" t="str">
        <f>VLOOKUP(Tabela1[[#This Row],[Origem]],'Perguntas 1 a 24'!$J$28:$K$34,2,FALSE)</f>
        <v>Sudeste</v>
      </c>
      <c r="E475" s="90" t="s">
        <v>11814</v>
      </c>
      <c r="F475" s="91">
        <v>45733</v>
      </c>
      <c r="G475" s="92">
        <v>78186</v>
      </c>
      <c r="H475" s="90" t="s">
        <v>14</v>
      </c>
      <c r="I4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5" s="90" t="s">
        <v>4464</v>
      </c>
    </row>
    <row r="476" spans="1:11">
      <c r="A476" s="90" t="s">
        <v>4614</v>
      </c>
      <c r="B476" s="90" t="s">
        <v>4615</v>
      </c>
      <c r="C476" s="90" t="s">
        <v>10</v>
      </c>
      <c r="D476" s="90" t="str">
        <f>VLOOKUP(Tabela1[[#This Row],[Origem]],'Perguntas 1 a 24'!$J$28:$K$34,2,FALSE)</f>
        <v>Centro-Oeste</v>
      </c>
      <c r="E476" s="90" t="s">
        <v>11815</v>
      </c>
      <c r="F476" s="91">
        <v>45733</v>
      </c>
      <c r="G476" s="92">
        <v>76249</v>
      </c>
      <c r="H476" s="90" t="s">
        <v>7</v>
      </c>
      <c r="I4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6" s="90" t="s">
        <v>4615</v>
      </c>
    </row>
    <row r="477" spans="1:11">
      <c r="A477" s="90" t="s">
        <v>9707</v>
      </c>
      <c r="B477" s="90" t="s">
        <v>9708</v>
      </c>
      <c r="C477" s="90" t="s">
        <v>6</v>
      </c>
      <c r="D477" s="90" t="str">
        <f>VLOOKUP(Tabela1[[#This Row],[Origem]],'Perguntas 1 a 24'!$J$28:$K$34,2,FALSE)</f>
        <v>Nordeste</v>
      </c>
      <c r="E477" s="90" t="s">
        <v>11816</v>
      </c>
      <c r="F477" s="91">
        <v>45734</v>
      </c>
      <c r="G477" s="92">
        <v>62356</v>
      </c>
      <c r="H477" s="90" t="s">
        <v>11</v>
      </c>
      <c r="I4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7" s="90" t="s">
        <v>9708</v>
      </c>
    </row>
    <row r="478" spans="1:11">
      <c r="A478" s="90" t="s">
        <v>9771</v>
      </c>
      <c r="B478" s="90" t="s">
        <v>9772</v>
      </c>
      <c r="C478" s="90" t="s">
        <v>6</v>
      </c>
      <c r="D478" s="90" t="str">
        <f>VLOOKUP(Tabela1[[#This Row],[Origem]],'Perguntas 1 a 24'!$J$28:$K$34,2,FALSE)</f>
        <v>Nordeste</v>
      </c>
      <c r="E478" s="90" t="s">
        <v>11817</v>
      </c>
      <c r="F478" s="91">
        <v>45734</v>
      </c>
      <c r="G478" s="92">
        <v>106679</v>
      </c>
      <c r="H478" s="90" t="s">
        <v>14</v>
      </c>
      <c r="I4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8" s="90" t="s">
        <v>9772</v>
      </c>
    </row>
    <row r="479" spans="1:11">
      <c r="A479" s="90" t="s">
        <v>4954</v>
      </c>
      <c r="B479" s="90" t="s">
        <v>4955</v>
      </c>
      <c r="C479" s="90" t="s">
        <v>12</v>
      </c>
      <c r="D479" s="90" t="str">
        <f>VLOOKUP(Tabela1[[#This Row],[Origem]],'Perguntas 1 a 24'!$J$28:$K$34,2,FALSE)</f>
        <v>Sudeste</v>
      </c>
      <c r="E479" s="90" t="s">
        <v>11818</v>
      </c>
      <c r="F479" s="91">
        <v>45735</v>
      </c>
      <c r="G479" s="92">
        <v>86380</v>
      </c>
      <c r="H479" s="90" t="s">
        <v>11</v>
      </c>
      <c r="I4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79" s="90" t="s">
        <v>4955</v>
      </c>
    </row>
    <row r="480" spans="1:11">
      <c r="A480" s="90" t="s">
        <v>5398</v>
      </c>
      <c r="B480" s="90" t="s">
        <v>5399</v>
      </c>
      <c r="C480" s="90" t="s">
        <v>6</v>
      </c>
      <c r="D480" s="90" t="str">
        <f>VLOOKUP(Tabela1[[#This Row],[Origem]],'Perguntas 1 a 24'!$J$28:$K$34,2,FALSE)</f>
        <v>Nordeste</v>
      </c>
      <c r="E480" s="90" t="s">
        <v>11819</v>
      </c>
      <c r="F480" s="91">
        <v>45735</v>
      </c>
      <c r="G480" s="92">
        <v>104986</v>
      </c>
      <c r="H480" s="90" t="s">
        <v>7</v>
      </c>
      <c r="I4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80" s="90" t="s">
        <v>5399</v>
      </c>
    </row>
    <row r="481" spans="1:11">
      <c r="A481" s="90" t="s">
        <v>5664</v>
      </c>
      <c r="B481" s="90" t="s">
        <v>5665</v>
      </c>
      <c r="C481" s="90" t="s">
        <v>13</v>
      </c>
      <c r="D481" s="90" t="str">
        <f>VLOOKUP(Tabela1[[#This Row],[Origem]],'Perguntas 1 a 24'!$J$28:$K$34,2,FALSE)</f>
        <v>Sudeste</v>
      </c>
      <c r="E481" s="90" t="s">
        <v>11820</v>
      </c>
      <c r="F481" s="91">
        <v>45735</v>
      </c>
      <c r="G481" s="92">
        <v>118394</v>
      </c>
      <c r="H481" s="90" t="s">
        <v>7</v>
      </c>
      <c r="I4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81" s="90" t="s">
        <v>5665</v>
      </c>
    </row>
    <row r="482" spans="1:11">
      <c r="A482" s="90" t="s">
        <v>8298</v>
      </c>
      <c r="B482" s="90" t="s">
        <v>8299</v>
      </c>
      <c r="C482" s="90" t="s">
        <v>10</v>
      </c>
      <c r="D482" s="90" t="str">
        <f>VLOOKUP(Tabela1[[#This Row],[Origem]],'Perguntas 1 a 24'!$J$28:$K$34,2,FALSE)</f>
        <v>Centro-Oeste</v>
      </c>
      <c r="E482" s="90" t="s">
        <v>11821</v>
      </c>
      <c r="F482" s="91">
        <v>45735</v>
      </c>
      <c r="G482" s="92">
        <v>84917</v>
      </c>
      <c r="H482" s="90" t="s">
        <v>9</v>
      </c>
      <c r="I4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82" s="90" t="s">
        <v>8299</v>
      </c>
    </row>
    <row r="483" spans="1:11">
      <c r="A483" s="90" t="s">
        <v>3752</v>
      </c>
      <c r="B483" s="90" t="s">
        <v>3753</v>
      </c>
      <c r="C483" s="90" t="s">
        <v>6</v>
      </c>
      <c r="D483" s="90" t="str">
        <f>VLOOKUP(Tabela1[[#This Row],[Origem]],'Perguntas 1 a 24'!$J$28:$K$34,2,FALSE)</f>
        <v>Nordeste</v>
      </c>
      <c r="E483" s="90" t="s">
        <v>11822</v>
      </c>
      <c r="F483" s="91">
        <v>45736</v>
      </c>
      <c r="G483" s="92">
        <v>43773</v>
      </c>
      <c r="H483" s="90" t="s">
        <v>14</v>
      </c>
      <c r="I4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83" s="90" t="s">
        <v>3753</v>
      </c>
    </row>
    <row r="484" spans="1:11">
      <c r="A484" s="90" t="s">
        <v>9851</v>
      </c>
      <c r="B484" s="90" t="s">
        <v>9852</v>
      </c>
      <c r="C484" s="90" t="s">
        <v>13</v>
      </c>
      <c r="D484" s="90" t="str">
        <f>VLOOKUP(Tabela1[[#This Row],[Origem]],'Perguntas 1 a 24'!$J$28:$K$34,2,FALSE)</f>
        <v>Sudeste</v>
      </c>
      <c r="E484" s="90" t="s">
        <v>11823</v>
      </c>
      <c r="F484" s="91">
        <v>45736</v>
      </c>
      <c r="G484" s="92">
        <v>91647</v>
      </c>
      <c r="H484" s="90" t="s">
        <v>14</v>
      </c>
      <c r="I4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84" s="90" t="s">
        <v>9852</v>
      </c>
    </row>
    <row r="485" spans="1:11">
      <c r="A485" s="90" t="s">
        <v>8500</v>
      </c>
      <c r="B485" s="90" t="s">
        <v>8501</v>
      </c>
      <c r="C485" s="90" t="s">
        <v>6</v>
      </c>
      <c r="D485" s="90" t="str">
        <f>VLOOKUP(Tabela1[[#This Row],[Origem]],'Perguntas 1 a 24'!$J$28:$K$34,2,FALSE)</f>
        <v>Nordeste</v>
      </c>
      <c r="E485" s="90" t="s">
        <v>11824</v>
      </c>
      <c r="F485" s="91">
        <v>45737</v>
      </c>
      <c r="G485" s="92">
        <v>28797</v>
      </c>
      <c r="H485" s="90" t="s">
        <v>9</v>
      </c>
      <c r="I4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85" s="90" t="s">
        <v>8501</v>
      </c>
    </row>
    <row r="486" spans="1:11">
      <c r="A486" s="90" t="s">
        <v>10179</v>
      </c>
      <c r="B486" s="90" t="s">
        <v>10180</v>
      </c>
      <c r="C486" s="90" t="s">
        <v>8</v>
      </c>
      <c r="D486" s="90" t="str">
        <f>VLOOKUP(Tabela1[[#This Row],[Origem]],'Perguntas 1 a 24'!$J$28:$K$34,2,FALSE)</f>
        <v>Nordeste</v>
      </c>
      <c r="E486" s="90" t="s">
        <v>11825</v>
      </c>
      <c r="F486" s="91">
        <v>45737</v>
      </c>
      <c r="G486" s="92">
        <v>37348</v>
      </c>
      <c r="H486" s="90" t="s">
        <v>11</v>
      </c>
      <c r="I4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86" s="90" t="s">
        <v>10180</v>
      </c>
    </row>
    <row r="487" spans="1:11">
      <c r="A487" s="90" t="s">
        <v>5014</v>
      </c>
      <c r="B487" s="90" t="s">
        <v>5015</v>
      </c>
      <c r="C487" s="90" t="s">
        <v>6</v>
      </c>
      <c r="D487" s="90" t="str">
        <f>VLOOKUP(Tabela1[[#This Row],[Origem]],'Perguntas 1 a 24'!$J$28:$K$34,2,FALSE)</f>
        <v>Nordeste</v>
      </c>
      <c r="E487" s="90" t="s">
        <v>11826</v>
      </c>
      <c r="F487" s="91">
        <v>45738</v>
      </c>
      <c r="G487" s="92">
        <v>80214</v>
      </c>
      <c r="H487" s="90" t="s">
        <v>7</v>
      </c>
      <c r="I4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87" s="90" t="s">
        <v>5015</v>
      </c>
    </row>
    <row r="488" spans="1:11">
      <c r="A488" s="90" t="s">
        <v>5110</v>
      </c>
      <c r="B488" s="90" t="s">
        <v>5111</v>
      </c>
      <c r="C488" s="90" t="s">
        <v>15</v>
      </c>
      <c r="D488" s="90" t="str">
        <f>VLOOKUP(Tabela1[[#This Row],[Origem]],'Perguntas 1 a 24'!$J$28:$K$34,2,FALSE)</f>
        <v>Sudeste</v>
      </c>
      <c r="E488" s="90" t="s">
        <v>11827</v>
      </c>
      <c r="F488" s="91">
        <v>45738</v>
      </c>
      <c r="G488" s="92">
        <v>59344</v>
      </c>
      <c r="H488" s="90" t="s">
        <v>9</v>
      </c>
      <c r="I4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88" s="90" t="s">
        <v>5111</v>
      </c>
    </row>
    <row r="489" spans="1:11">
      <c r="A489" s="90" t="s">
        <v>6394</v>
      </c>
      <c r="B489" s="90" t="s">
        <v>6395</v>
      </c>
      <c r="C489" s="90" t="s">
        <v>13</v>
      </c>
      <c r="D489" s="90" t="str">
        <f>VLOOKUP(Tabela1[[#This Row],[Origem]],'Perguntas 1 a 24'!$J$28:$K$34,2,FALSE)</f>
        <v>Sudeste</v>
      </c>
      <c r="E489" s="90" t="s">
        <v>11828</v>
      </c>
      <c r="F489" s="91">
        <v>45738</v>
      </c>
      <c r="G489" s="92">
        <v>114808</v>
      </c>
      <c r="H489" s="90" t="s">
        <v>7</v>
      </c>
      <c r="I4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89" s="90" t="s">
        <v>6395</v>
      </c>
    </row>
    <row r="490" spans="1:11">
      <c r="A490" s="90" t="s">
        <v>9189</v>
      </c>
      <c r="B490" s="90" t="s">
        <v>9190</v>
      </c>
      <c r="C490" s="90" t="s">
        <v>15</v>
      </c>
      <c r="D490" s="90" t="str">
        <f>VLOOKUP(Tabela1[[#This Row],[Origem]],'Perguntas 1 a 24'!$J$28:$K$34,2,FALSE)</f>
        <v>Sudeste</v>
      </c>
      <c r="E490" s="90" t="s">
        <v>11829</v>
      </c>
      <c r="F490" s="91">
        <v>45738</v>
      </c>
      <c r="G490" s="92">
        <v>25685</v>
      </c>
      <c r="H490" s="90" t="s">
        <v>11</v>
      </c>
      <c r="I4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90" s="90" t="s">
        <v>9190</v>
      </c>
    </row>
    <row r="491" spans="1:11">
      <c r="A491" s="90" t="s">
        <v>11105</v>
      </c>
      <c r="B491" s="90" t="s">
        <v>11106</v>
      </c>
      <c r="C491" s="90" t="s">
        <v>12</v>
      </c>
      <c r="D491" s="90" t="str">
        <f>VLOOKUP(Tabela1[[#This Row],[Origem]],'Perguntas 1 a 24'!$J$28:$K$34,2,FALSE)</f>
        <v>Sudeste</v>
      </c>
      <c r="E491" s="90" t="s">
        <v>11830</v>
      </c>
      <c r="F491" s="91">
        <v>45739</v>
      </c>
      <c r="G491" s="92">
        <v>118675</v>
      </c>
      <c r="H491" s="90" t="s">
        <v>14</v>
      </c>
      <c r="I4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1" s="90" t="s">
        <v>11106</v>
      </c>
    </row>
    <row r="492" spans="1:11">
      <c r="A492" s="90" t="s">
        <v>6266</v>
      </c>
      <c r="B492" s="90" t="s">
        <v>6267</v>
      </c>
      <c r="C492" s="90" t="s">
        <v>12</v>
      </c>
      <c r="D492" s="90" t="str">
        <f>VLOOKUP(Tabela1[[#This Row],[Origem]],'Perguntas 1 a 24'!$J$28:$K$34,2,FALSE)</f>
        <v>Sudeste</v>
      </c>
      <c r="E492" s="90" t="s">
        <v>11831</v>
      </c>
      <c r="F492" s="91">
        <v>45741</v>
      </c>
      <c r="G492" s="92">
        <v>99311</v>
      </c>
      <c r="H492" s="90" t="s">
        <v>14</v>
      </c>
      <c r="I4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2" s="90" t="s">
        <v>6267</v>
      </c>
    </row>
    <row r="493" spans="1:11">
      <c r="A493" s="90" t="s">
        <v>9783</v>
      </c>
      <c r="B493" s="90" t="s">
        <v>9784</v>
      </c>
      <c r="C493" s="90" t="s">
        <v>10</v>
      </c>
      <c r="D493" s="90" t="str">
        <f>VLOOKUP(Tabela1[[#This Row],[Origem]],'Perguntas 1 a 24'!$J$28:$K$34,2,FALSE)</f>
        <v>Centro-Oeste</v>
      </c>
      <c r="E493" s="90" t="s">
        <v>11832</v>
      </c>
      <c r="F493" s="91">
        <v>45741</v>
      </c>
      <c r="G493" s="92">
        <v>59748</v>
      </c>
      <c r="H493" s="90" t="s">
        <v>14</v>
      </c>
      <c r="I4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3" s="90" t="s">
        <v>9784</v>
      </c>
    </row>
    <row r="494" spans="1:11">
      <c r="A494" s="90" t="s">
        <v>4642</v>
      </c>
      <c r="B494" s="90" t="s">
        <v>4643</v>
      </c>
      <c r="C494" s="90" t="s">
        <v>16</v>
      </c>
      <c r="D494" s="90" t="str">
        <f>VLOOKUP(Tabela1[[#This Row],[Origem]],'Perguntas 1 a 24'!$J$28:$K$34,2,FALSE)</f>
        <v>Sudeste</v>
      </c>
      <c r="E494" s="90" t="s">
        <v>11833</v>
      </c>
      <c r="F494" s="91">
        <v>45743</v>
      </c>
      <c r="G494" s="92">
        <v>58538</v>
      </c>
      <c r="H494" s="90" t="s">
        <v>7</v>
      </c>
      <c r="I4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4" s="90" t="s">
        <v>4643</v>
      </c>
    </row>
    <row r="495" spans="1:11">
      <c r="A495" s="90" t="s">
        <v>5600</v>
      </c>
      <c r="B495" s="90" t="s">
        <v>5601</v>
      </c>
      <c r="C495" s="90" t="s">
        <v>13</v>
      </c>
      <c r="D495" s="90" t="str">
        <f>VLOOKUP(Tabela1[[#This Row],[Origem]],'Perguntas 1 a 24'!$J$28:$K$34,2,FALSE)</f>
        <v>Sudeste</v>
      </c>
      <c r="E495" s="90" t="s">
        <v>11834</v>
      </c>
      <c r="F495" s="91">
        <v>45743</v>
      </c>
      <c r="G495" s="92">
        <v>93369</v>
      </c>
      <c r="H495" s="90" t="s">
        <v>7</v>
      </c>
      <c r="I4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5" s="90" t="s">
        <v>5601</v>
      </c>
    </row>
    <row r="496" spans="1:11">
      <c r="A496" s="90" t="s">
        <v>10583</v>
      </c>
      <c r="B496" s="90" t="s">
        <v>10584</v>
      </c>
      <c r="C496" s="90" t="s">
        <v>15</v>
      </c>
      <c r="D496" s="90" t="str">
        <f>VLOOKUP(Tabela1[[#This Row],[Origem]],'Perguntas 1 a 24'!$J$28:$K$34,2,FALSE)</f>
        <v>Sudeste</v>
      </c>
      <c r="E496" s="90" t="s">
        <v>11835</v>
      </c>
      <c r="F496" s="91">
        <v>45744</v>
      </c>
      <c r="G496" s="92">
        <v>38059</v>
      </c>
      <c r="H496" s="90" t="s">
        <v>7</v>
      </c>
      <c r="I4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496" s="90" t="s">
        <v>10584</v>
      </c>
    </row>
    <row r="497" spans="1:11">
      <c r="A497" s="90" t="s">
        <v>5012</v>
      </c>
      <c r="B497" s="90" t="s">
        <v>5013</v>
      </c>
      <c r="C497" s="90" t="s">
        <v>15</v>
      </c>
      <c r="D497" s="90" t="str">
        <f>VLOOKUP(Tabela1[[#This Row],[Origem]],'Perguntas 1 a 24'!$J$28:$K$34,2,FALSE)</f>
        <v>Sudeste</v>
      </c>
      <c r="E497" s="90" t="s">
        <v>11836</v>
      </c>
      <c r="F497" s="91">
        <v>45745</v>
      </c>
      <c r="G497" s="92">
        <v>110181</v>
      </c>
      <c r="H497" s="90" t="s">
        <v>9</v>
      </c>
      <c r="I4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7" s="90" t="s">
        <v>5013</v>
      </c>
    </row>
    <row r="498" spans="1:11">
      <c r="A498" s="90" t="s">
        <v>9321</v>
      </c>
      <c r="B498" s="90" t="s">
        <v>9322</v>
      </c>
      <c r="C498" s="90" t="s">
        <v>6</v>
      </c>
      <c r="D498" s="90" t="str">
        <f>VLOOKUP(Tabela1[[#This Row],[Origem]],'Perguntas 1 a 24'!$J$28:$K$34,2,FALSE)</f>
        <v>Nordeste</v>
      </c>
      <c r="E498" s="90" t="s">
        <v>11837</v>
      </c>
      <c r="F498" s="91">
        <v>45745</v>
      </c>
      <c r="G498" s="92">
        <v>60626</v>
      </c>
      <c r="H498" s="90" t="s">
        <v>9</v>
      </c>
      <c r="I4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8" s="90" t="s">
        <v>9322</v>
      </c>
    </row>
    <row r="499" spans="1:11">
      <c r="A499" s="90" t="s">
        <v>5828</v>
      </c>
      <c r="B499" s="90" t="s">
        <v>5829</v>
      </c>
      <c r="C499" s="90" t="s">
        <v>13</v>
      </c>
      <c r="D499" s="90" t="str">
        <f>VLOOKUP(Tabela1[[#This Row],[Origem]],'Perguntas 1 a 24'!$J$28:$K$34,2,FALSE)</f>
        <v>Sudeste</v>
      </c>
      <c r="E499" s="90" t="s">
        <v>11838</v>
      </c>
      <c r="F499" s="91">
        <v>45746</v>
      </c>
      <c r="G499" s="92">
        <v>113345</v>
      </c>
      <c r="H499" s="90" t="s">
        <v>7</v>
      </c>
      <c r="I4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499" s="90" t="s">
        <v>5829</v>
      </c>
    </row>
    <row r="500" spans="1:11">
      <c r="A500" s="90" t="s">
        <v>6944</v>
      </c>
      <c r="B500" s="90" t="s">
        <v>6945</v>
      </c>
      <c r="C500" s="90" t="s">
        <v>12</v>
      </c>
      <c r="D500" s="90" t="str">
        <f>VLOOKUP(Tabela1[[#This Row],[Origem]],'Perguntas 1 a 24'!$J$28:$K$34,2,FALSE)</f>
        <v>Sudeste</v>
      </c>
      <c r="E500" s="90" t="s">
        <v>11839</v>
      </c>
      <c r="F500" s="91">
        <v>45748</v>
      </c>
      <c r="G500" s="92">
        <v>70346</v>
      </c>
      <c r="H500" s="90" t="s">
        <v>9</v>
      </c>
      <c r="I5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0" s="90" t="s">
        <v>6945</v>
      </c>
    </row>
    <row r="501" spans="1:11">
      <c r="A501" s="90" t="s">
        <v>9007</v>
      </c>
      <c r="B501" s="90" t="s">
        <v>9008</v>
      </c>
      <c r="C501" s="90" t="s">
        <v>13</v>
      </c>
      <c r="D501" s="90" t="str">
        <f>VLOOKUP(Tabela1[[#This Row],[Origem]],'Perguntas 1 a 24'!$J$28:$K$34,2,FALSE)</f>
        <v>Sudeste</v>
      </c>
      <c r="E501" s="90" t="s">
        <v>11840</v>
      </c>
      <c r="F501" s="91">
        <v>45748</v>
      </c>
      <c r="G501" s="92">
        <v>61294</v>
      </c>
      <c r="H501" s="90" t="s">
        <v>11</v>
      </c>
      <c r="I5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1" s="90" t="s">
        <v>9008</v>
      </c>
    </row>
    <row r="502" spans="1:11">
      <c r="A502" s="90" t="s">
        <v>10951</v>
      </c>
      <c r="B502" s="90" t="s">
        <v>10952</v>
      </c>
      <c r="C502" s="90" t="s">
        <v>6</v>
      </c>
      <c r="D502" s="90" t="str">
        <f>VLOOKUP(Tabela1[[#This Row],[Origem]],'Perguntas 1 a 24'!$J$28:$K$34,2,FALSE)</f>
        <v>Nordeste</v>
      </c>
      <c r="E502" s="90" t="s">
        <v>11841</v>
      </c>
      <c r="F502" s="91">
        <v>45750</v>
      </c>
      <c r="G502" s="92">
        <v>100247</v>
      </c>
      <c r="H502" s="90" t="s">
        <v>14</v>
      </c>
      <c r="I5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2" s="90" t="s">
        <v>10952</v>
      </c>
    </row>
    <row r="503" spans="1:11">
      <c r="A503" s="90" t="s">
        <v>6400</v>
      </c>
      <c r="B503" s="90" t="s">
        <v>6401</v>
      </c>
      <c r="C503" s="90" t="s">
        <v>10</v>
      </c>
      <c r="D503" s="90" t="str">
        <f>VLOOKUP(Tabela1[[#This Row],[Origem]],'Perguntas 1 a 24'!$J$28:$K$34,2,FALSE)</f>
        <v>Centro-Oeste</v>
      </c>
      <c r="E503" s="90" t="s">
        <v>11842</v>
      </c>
      <c r="F503" s="91">
        <v>45753</v>
      </c>
      <c r="G503" s="92">
        <v>93228</v>
      </c>
      <c r="H503" s="90" t="s">
        <v>14</v>
      </c>
      <c r="I5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3" s="90" t="s">
        <v>6401</v>
      </c>
    </row>
    <row r="504" spans="1:11">
      <c r="A504" s="90" t="s">
        <v>9489</v>
      </c>
      <c r="B504" s="90" t="s">
        <v>9490</v>
      </c>
      <c r="C504" s="90" t="s">
        <v>12</v>
      </c>
      <c r="D504" s="90" t="str">
        <f>VLOOKUP(Tabela1[[#This Row],[Origem]],'Perguntas 1 a 24'!$J$28:$K$34,2,FALSE)</f>
        <v>Sudeste</v>
      </c>
      <c r="E504" s="90" t="s">
        <v>11843</v>
      </c>
      <c r="F504" s="91">
        <v>45753</v>
      </c>
      <c r="G504" s="92">
        <v>54193</v>
      </c>
      <c r="H504" s="90" t="s">
        <v>11</v>
      </c>
      <c r="I5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4" s="90" t="s">
        <v>9490</v>
      </c>
    </row>
    <row r="505" spans="1:11">
      <c r="A505" s="90" t="s">
        <v>5264</v>
      </c>
      <c r="B505" s="90" t="s">
        <v>5265</v>
      </c>
      <c r="C505" s="90" t="s">
        <v>6</v>
      </c>
      <c r="D505" s="90" t="str">
        <f>VLOOKUP(Tabela1[[#This Row],[Origem]],'Perguntas 1 a 24'!$J$28:$K$34,2,FALSE)</f>
        <v>Nordeste</v>
      </c>
      <c r="E505" s="90" t="s">
        <v>11844</v>
      </c>
      <c r="F505" s="91">
        <v>45754</v>
      </c>
      <c r="G505" s="92">
        <v>95667</v>
      </c>
      <c r="H505" s="90" t="s">
        <v>14</v>
      </c>
      <c r="I5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5" s="90" t="s">
        <v>5265</v>
      </c>
    </row>
    <row r="506" spans="1:11">
      <c r="A506" s="90" t="s">
        <v>6032</v>
      </c>
      <c r="B506" s="90" t="s">
        <v>6033</v>
      </c>
      <c r="C506" s="90" t="s">
        <v>16</v>
      </c>
      <c r="D506" s="90" t="str">
        <f>VLOOKUP(Tabela1[[#This Row],[Origem]],'Perguntas 1 a 24'!$J$28:$K$34,2,FALSE)</f>
        <v>Sudeste</v>
      </c>
      <c r="E506" s="90" t="s">
        <v>11845</v>
      </c>
      <c r="F506" s="91">
        <v>45754</v>
      </c>
      <c r="G506" s="92">
        <v>112375</v>
      </c>
      <c r="H506" s="90" t="s">
        <v>9</v>
      </c>
      <c r="I5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6" s="90" t="s">
        <v>6033</v>
      </c>
    </row>
    <row r="507" spans="1:11">
      <c r="A507" s="90" t="s">
        <v>6380</v>
      </c>
      <c r="B507" s="90" t="s">
        <v>6381</v>
      </c>
      <c r="C507" s="90" t="s">
        <v>10</v>
      </c>
      <c r="D507" s="90" t="str">
        <f>VLOOKUP(Tabela1[[#This Row],[Origem]],'Perguntas 1 a 24'!$J$28:$K$34,2,FALSE)</f>
        <v>Centro-Oeste</v>
      </c>
      <c r="E507" s="90" t="s">
        <v>11846</v>
      </c>
      <c r="F507" s="91">
        <v>45755</v>
      </c>
      <c r="G507" s="92">
        <v>83055</v>
      </c>
      <c r="H507" s="90" t="s">
        <v>14</v>
      </c>
      <c r="I5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7" s="90" t="s">
        <v>6381</v>
      </c>
    </row>
    <row r="508" spans="1:11">
      <c r="A508" s="90" t="s">
        <v>5494</v>
      </c>
      <c r="B508" s="90" t="s">
        <v>5495</v>
      </c>
      <c r="C508" s="90" t="s">
        <v>13</v>
      </c>
      <c r="D508" s="90" t="str">
        <f>VLOOKUP(Tabela1[[#This Row],[Origem]],'Perguntas 1 a 24'!$J$28:$K$34,2,FALSE)</f>
        <v>Sudeste</v>
      </c>
      <c r="E508" s="90" t="s">
        <v>11847</v>
      </c>
      <c r="F508" s="91">
        <v>45757</v>
      </c>
      <c r="G508" s="92">
        <v>107575</v>
      </c>
      <c r="H508" s="90" t="s">
        <v>14</v>
      </c>
      <c r="I5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8" s="90" t="s">
        <v>5495</v>
      </c>
    </row>
    <row r="509" spans="1:11">
      <c r="A509" s="90" t="s">
        <v>10865</v>
      </c>
      <c r="B509" s="90" t="s">
        <v>10866</v>
      </c>
      <c r="C509" s="90" t="s">
        <v>15</v>
      </c>
      <c r="D509" s="90" t="str">
        <f>VLOOKUP(Tabela1[[#This Row],[Origem]],'Perguntas 1 a 24'!$J$28:$K$34,2,FALSE)</f>
        <v>Sudeste</v>
      </c>
      <c r="E509" s="90" t="s">
        <v>11848</v>
      </c>
      <c r="F509" s="91">
        <v>45757</v>
      </c>
      <c r="G509" s="92">
        <v>79334</v>
      </c>
      <c r="H509" s="90" t="s">
        <v>7</v>
      </c>
      <c r="I5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09" s="90" t="s">
        <v>10866</v>
      </c>
    </row>
    <row r="510" spans="1:11">
      <c r="A510" s="90" t="s">
        <v>4182</v>
      </c>
      <c r="B510" s="90" t="s">
        <v>17</v>
      </c>
      <c r="C510" s="90" t="s">
        <v>8</v>
      </c>
      <c r="D510" s="90" t="str">
        <f>VLOOKUP(Tabela1[[#This Row],[Origem]],'Perguntas 1 a 24'!$J$28:$K$34,2,FALSE)</f>
        <v>Nordeste</v>
      </c>
      <c r="E510" s="90" t="s">
        <v>11849</v>
      </c>
      <c r="F510" s="91">
        <v>45758</v>
      </c>
      <c r="G510" s="92">
        <v>41750</v>
      </c>
      <c r="H510" s="90" t="s">
        <v>11</v>
      </c>
      <c r="I5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10" s="90" t="s">
        <v>17</v>
      </c>
    </row>
    <row r="511" spans="1:11">
      <c r="A511" s="90" t="s">
        <v>7698</v>
      </c>
      <c r="B511" s="90" t="s">
        <v>7699</v>
      </c>
      <c r="C511" s="90" t="s">
        <v>13</v>
      </c>
      <c r="D511" s="90" t="str">
        <f>VLOOKUP(Tabela1[[#This Row],[Origem]],'Perguntas 1 a 24'!$J$28:$K$34,2,FALSE)</f>
        <v>Sudeste</v>
      </c>
      <c r="E511" s="90" t="s">
        <v>11850</v>
      </c>
      <c r="F511" s="91">
        <v>45758</v>
      </c>
      <c r="G511" s="92">
        <v>96979</v>
      </c>
      <c r="H511" s="90" t="s">
        <v>11</v>
      </c>
      <c r="I5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11" s="90" t="s">
        <v>7699</v>
      </c>
    </row>
    <row r="512" spans="1:11">
      <c r="A512" s="90" t="s">
        <v>11171</v>
      </c>
      <c r="B512" s="90" t="s">
        <v>11172</v>
      </c>
      <c r="C512" s="90" t="s">
        <v>6</v>
      </c>
      <c r="D512" s="90" t="str">
        <f>VLOOKUP(Tabela1[[#This Row],[Origem]],'Perguntas 1 a 24'!$J$28:$K$34,2,FALSE)</f>
        <v>Nordeste</v>
      </c>
      <c r="E512" s="90" t="s">
        <v>11851</v>
      </c>
      <c r="F512" s="91">
        <v>45758</v>
      </c>
      <c r="G512" s="92">
        <v>117306</v>
      </c>
      <c r="H512" s="90" t="s">
        <v>11</v>
      </c>
      <c r="I5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12" s="90" t="s">
        <v>11172</v>
      </c>
    </row>
    <row r="513" spans="1:11">
      <c r="A513" s="90" t="s">
        <v>6002</v>
      </c>
      <c r="B513" s="90" t="s">
        <v>6003</v>
      </c>
      <c r="C513" s="90" t="s">
        <v>12</v>
      </c>
      <c r="D513" s="90" t="str">
        <f>VLOOKUP(Tabela1[[#This Row],[Origem]],'Perguntas 1 a 24'!$J$28:$K$34,2,FALSE)</f>
        <v>Sudeste</v>
      </c>
      <c r="E513" s="90" t="s">
        <v>11852</v>
      </c>
      <c r="F513" s="91">
        <v>45759</v>
      </c>
      <c r="G513" s="92">
        <v>67541</v>
      </c>
      <c r="H513" s="90" t="s">
        <v>11</v>
      </c>
      <c r="I5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13" s="90" t="s">
        <v>6003</v>
      </c>
    </row>
    <row r="514" spans="1:11">
      <c r="A514" s="90" t="s">
        <v>6308</v>
      </c>
      <c r="B514" s="90" t="s">
        <v>6309</v>
      </c>
      <c r="C514" s="90" t="s">
        <v>6</v>
      </c>
      <c r="D514" s="90" t="str">
        <f>VLOOKUP(Tabela1[[#This Row],[Origem]],'Perguntas 1 a 24'!$J$28:$K$34,2,FALSE)</f>
        <v>Nordeste</v>
      </c>
      <c r="E514" s="90" t="s">
        <v>11853</v>
      </c>
      <c r="F514" s="91">
        <v>45760</v>
      </c>
      <c r="G514" s="92">
        <v>47159</v>
      </c>
      <c r="H514" s="90" t="s">
        <v>9</v>
      </c>
      <c r="I5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14" s="90" t="s">
        <v>6309</v>
      </c>
    </row>
    <row r="515" spans="1:11">
      <c r="A515" s="90" t="s">
        <v>7108</v>
      </c>
      <c r="B515" s="90" t="s">
        <v>7109</v>
      </c>
      <c r="C515" s="90" t="s">
        <v>6</v>
      </c>
      <c r="D515" s="90" t="str">
        <f>VLOOKUP(Tabela1[[#This Row],[Origem]],'Perguntas 1 a 24'!$J$28:$K$34,2,FALSE)</f>
        <v>Nordeste</v>
      </c>
      <c r="E515" s="90" t="s">
        <v>11854</v>
      </c>
      <c r="F515" s="91">
        <v>45760</v>
      </c>
      <c r="G515" s="92">
        <v>50003</v>
      </c>
      <c r="H515" s="90" t="s">
        <v>14</v>
      </c>
      <c r="I5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15" s="90" t="s">
        <v>7109</v>
      </c>
    </row>
    <row r="516" spans="1:11">
      <c r="A516" s="90" t="s">
        <v>6360</v>
      </c>
      <c r="B516" s="90" t="s">
        <v>6361</v>
      </c>
      <c r="C516" s="90" t="s">
        <v>12</v>
      </c>
      <c r="D516" s="90" t="str">
        <f>VLOOKUP(Tabela1[[#This Row],[Origem]],'Perguntas 1 a 24'!$J$28:$K$34,2,FALSE)</f>
        <v>Sudeste</v>
      </c>
      <c r="E516" s="90" t="s">
        <v>11855</v>
      </c>
      <c r="F516" s="91">
        <v>45761</v>
      </c>
      <c r="G516" s="92">
        <v>44765</v>
      </c>
      <c r="H516" s="90" t="s">
        <v>9</v>
      </c>
      <c r="I5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16" s="90" t="s">
        <v>6361</v>
      </c>
    </row>
    <row r="517" spans="1:11">
      <c r="A517" s="90" t="s">
        <v>5770</v>
      </c>
      <c r="B517" s="90" t="s">
        <v>5771</v>
      </c>
      <c r="C517" s="90" t="s">
        <v>8</v>
      </c>
      <c r="D517" s="90" t="str">
        <f>VLOOKUP(Tabela1[[#This Row],[Origem]],'Perguntas 1 a 24'!$J$28:$K$34,2,FALSE)</f>
        <v>Nordeste</v>
      </c>
      <c r="E517" s="90" t="s">
        <v>11856</v>
      </c>
      <c r="F517" s="91">
        <v>45762</v>
      </c>
      <c r="G517" s="92">
        <v>39530</v>
      </c>
      <c r="H517" s="90" t="s">
        <v>7</v>
      </c>
      <c r="I5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17" s="90" t="s">
        <v>5771</v>
      </c>
    </row>
    <row r="518" spans="1:11">
      <c r="A518" s="90" t="s">
        <v>4469</v>
      </c>
      <c r="B518" s="90" t="s">
        <v>4470</v>
      </c>
      <c r="C518" s="90" t="s">
        <v>15</v>
      </c>
      <c r="D518" s="90" t="str">
        <f>VLOOKUP(Tabela1[[#This Row],[Origem]],'Perguntas 1 a 24'!$J$28:$K$34,2,FALSE)</f>
        <v>Sudeste</v>
      </c>
      <c r="E518" s="90" t="s">
        <v>11857</v>
      </c>
      <c r="F518" s="91">
        <v>45763</v>
      </c>
      <c r="G518" s="92">
        <v>57673</v>
      </c>
      <c r="H518" s="90" t="s">
        <v>14</v>
      </c>
      <c r="I5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18" s="90" t="s">
        <v>4470</v>
      </c>
    </row>
    <row r="519" spans="1:11">
      <c r="A519" s="90" t="s">
        <v>6852</v>
      </c>
      <c r="B519" s="90" t="s">
        <v>6853</v>
      </c>
      <c r="C519" s="90" t="s">
        <v>10</v>
      </c>
      <c r="D519" s="90" t="str">
        <f>VLOOKUP(Tabela1[[#This Row],[Origem]],'Perguntas 1 a 24'!$J$28:$K$34,2,FALSE)</f>
        <v>Centro-Oeste</v>
      </c>
      <c r="E519" s="90" t="s">
        <v>11858</v>
      </c>
      <c r="F519" s="91">
        <v>45763</v>
      </c>
      <c r="G519" s="92">
        <v>114630</v>
      </c>
      <c r="H519" s="90" t="s">
        <v>11</v>
      </c>
      <c r="I5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19" s="90" t="s">
        <v>6853</v>
      </c>
    </row>
    <row r="520" spans="1:11">
      <c r="A520" s="90" t="s">
        <v>10077</v>
      </c>
      <c r="B520" s="90" t="s">
        <v>10078</v>
      </c>
      <c r="C520" s="90" t="s">
        <v>13</v>
      </c>
      <c r="D520" s="90" t="str">
        <f>VLOOKUP(Tabela1[[#This Row],[Origem]],'Perguntas 1 a 24'!$J$28:$K$34,2,FALSE)</f>
        <v>Sudeste</v>
      </c>
      <c r="E520" s="90" t="s">
        <v>11859</v>
      </c>
      <c r="F520" s="91">
        <v>45763</v>
      </c>
      <c r="G520" s="92">
        <v>100657</v>
      </c>
      <c r="H520" s="90" t="s">
        <v>9</v>
      </c>
      <c r="I5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20" s="90" t="s">
        <v>10078</v>
      </c>
    </row>
    <row r="521" spans="1:11">
      <c r="A521" s="90" t="s">
        <v>10467</v>
      </c>
      <c r="B521" s="90" t="s">
        <v>10468</v>
      </c>
      <c r="C521" s="90" t="s">
        <v>16</v>
      </c>
      <c r="D521" s="90" t="str">
        <f>VLOOKUP(Tabela1[[#This Row],[Origem]],'Perguntas 1 a 24'!$J$28:$K$34,2,FALSE)</f>
        <v>Sudeste</v>
      </c>
      <c r="E521" s="90" t="s">
        <v>11860</v>
      </c>
      <c r="F521" s="91">
        <v>45763</v>
      </c>
      <c r="G521" s="92">
        <v>63812</v>
      </c>
      <c r="H521" s="90" t="s">
        <v>9</v>
      </c>
      <c r="I5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21" s="90" t="s">
        <v>10468</v>
      </c>
    </row>
    <row r="522" spans="1:11">
      <c r="A522" s="90" t="s">
        <v>10721</v>
      </c>
      <c r="B522" s="90" t="s">
        <v>10722</v>
      </c>
      <c r="C522" s="90" t="s">
        <v>6</v>
      </c>
      <c r="D522" s="90" t="str">
        <f>VLOOKUP(Tabela1[[#This Row],[Origem]],'Perguntas 1 a 24'!$J$28:$K$34,2,FALSE)</f>
        <v>Nordeste</v>
      </c>
      <c r="E522" s="90" t="s">
        <v>11861</v>
      </c>
      <c r="F522" s="91">
        <v>45763</v>
      </c>
      <c r="G522" s="92">
        <v>37273</v>
      </c>
      <c r="H522" s="90" t="s">
        <v>14</v>
      </c>
      <c r="I5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22" s="90" t="s">
        <v>10722</v>
      </c>
    </row>
    <row r="523" spans="1:11">
      <c r="A523" s="90" t="s">
        <v>8518</v>
      </c>
      <c r="B523" s="90" t="s">
        <v>8519</v>
      </c>
      <c r="C523" s="90" t="s">
        <v>12</v>
      </c>
      <c r="D523" s="90" t="str">
        <f>VLOOKUP(Tabela1[[#This Row],[Origem]],'Perguntas 1 a 24'!$J$28:$K$34,2,FALSE)</f>
        <v>Sudeste</v>
      </c>
      <c r="E523" s="90" t="s">
        <v>11862</v>
      </c>
      <c r="F523" s="91">
        <v>45764</v>
      </c>
      <c r="G523" s="92">
        <v>72717</v>
      </c>
      <c r="H523" s="90" t="s">
        <v>14</v>
      </c>
      <c r="I5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23" s="90" t="s">
        <v>8519</v>
      </c>
    </row>
    <row r="524" spans="1:11">
      <c r="A524" s="90" t="s">
        <v>9675</v>
      </c>
      <c r="B524" s="90" t="s">
        <v>9676</v>
      </c>
      <c r="C524" s="90" t="s">
        <v>13</v>
      </c>
      <c r="D524" s="90" t="str">
        <f>VLOOKUP(Tabela1[[#This Row],[Origem]],'Perguntas 1 a 24'!$J$28:$K$34,2,FALSE)</f>
        <v>Sudeste</v>
      </c>
      <c r="E524" s="90" t="s">
        <v>11863</v>
      </c>
      <c r="F524" s="91">
        <v>45764</v>
      </c>
      <c r="G524" s="92">
        <v>104820</v>
      </c>
      <c r="H524" s="90" t="s">
        <v>7</v>
      </c>
      <c r="I5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24" s="90" t="s">
        <v>9676</v>
      </c>
    </row>
    <row r="525" spans="1:11">
      <c r="A525" s="90" t="s">
        <v>4750</v>
      </c>
      <c r="B525" s="90" t="s">
        <v>4751</v>
      </c>
      <c r="C525" s="90" t="s">
        <v>15</v>
      </c>
      <c r="D525" s="90" t="str">
        <f>VLOOKUP(Tabela1[[#This Row],[Origem]],'Perguntas 1 a 24'!$J$28:$K$34,2,FALSE)</f>
        <v>Sudeste</v>
      </c>
      <c r="E525" s="90" t="s">
        <v>11864</v>
      </c>
      <c r="F525" s="91">
        <v>45765</v>
      </c>
      <c r="G525" s="92">
        <v>33740</v>
      </c>
      <c r="H525" s="90" t="s">
        <v>14</v>
      </c>
      <c r="I5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25" s="90" t="s">
        <v>4751</v>
      </c>
    </row>
    <row r="526" spans="1:11">
      <c r="A526" s="90" t="s">
        <v>7440</v>
      </c>
      <c r="B526" s="90" t="s">
        <v>7441</v>
      </c>
      <c r="C526" s="90" t="s">
        <v>6</v>
      </c>
      <c r="D526" s="90" t="str">
        <f>VLOOKUP(Tabela1[[#This Row],[Origem]],'Perguntas 1 a 24'!$J$28:$K$34,2,FALSE)</f>
        <v>Nordeste</v>
      </c>
      <c r="E526" s="90" t="s">
        <v>11865</v>
      </c>
      <c r="F526" s="91">
        <v>45765</v>
      </c>
      <c r="G526" s="92">
        <v>64208</v>
      </c>
      <c r="H526" s="90" t="s">
        <v>9</v>
      </c>
      <c r="I5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26" s="90" t="s">
        <v>7441</v>
      </c>
    </row>
    <row r="527" spans="1:11">
      <c r="A527" s="90" t="s">
        <v>9589</v>
      </c>
      <c r="B527" s="90" t="s">
        <v>9590</v>
      </c>
      <c r="C527" s="90" t="s">
        <v>10</v>
      </c>
      <c r="D527" s="90" t="str">
        <f>VLOOKUP(Tabela1[[#This Row],[Origem]],'Perguntas 1 a 24'!$J$28:$K$34,2,FALSE)</f>
        <v>Centro-Oeste</v>
      </c>
      <c r="E527" s="90" t="s">
        <v>11866</v>
      </c>
      <c r="F527" s="91">
        <v>45765</v>
      </c>
      <c r="G527" s="92">
        <v>48873</v>
      </c>
      <c r="H527" s="90" t="s">
        <v>14</v>
      </c>
      <c r="I5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27" s="90" t="s">
        <v>9590</v>
      </c>
    </row>
    <row r="528" spans="1:11">
      <c r="A528" s="90" t="s">
        <v>9471</v>
      </c>
      <c r="B528" s="90" t="s">
        <v>9472</v>
      </c>
      <c r="C528" s="90" t="s">
        <v>12</v>
      </c>
      <c r="D528" s="90" t="str">
        <f>VLOOKUP(Tabela1[[#This Row],[Origem]],'Perguntas 1 a 24'!$J$28:$K$34,2,FALSE)</f>
        <v>Sudeste</v>
      </c>
      <c r="E528" s="90" t="s">
        <v>11867</v>
      </c>
      <c r="F528" s="91">
        <v>45766</v>
      </c>
      <c r="G528" s="92">
        <v>117740</v>
      </c>
      <c r="H528" s="90" t="s">
        <v>14</v>
      </c>
      <c r="I5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28" s="90" t="s">
        <v>9472</v>
      </c>
    </row>
    <row r="529" spans="1:11">
      <c r="A529" s="90" t="s">
        <v>10189</v>
      </c>
      <c r="B529" s="90" t="s">
        <v>10190</v>
      </c>
      <c r="C529" s="90" t="s">
        <v>8</v>
      </c>
      <c r="D529" s="90" t="str">
        <f>VLOOKUP(Tabela1[[#This Row],[Origem]],'Perguntas 1 a 24'!$J$28:$K$34,2,FALSE)</f>
        <v>Nordeste</v>
      </c>
      <c r="E529" s="90" t="s">
        <v>11868</v>
      </c>
      <c r="F529" s="91">
        <v>45766</v>
      </c>
      <c r="G529" s="92">
        <v>109627</v>
      </c>
      <c r="H529" s="90" t="s">
        <v>7</v>
      </c>
      <c r="I5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29" s="90" t="s">
        <v>10190</v>
      </c>
    </row>
    <row r="530" spans="1:11">
      <c r="A530" s="90" t="s">
        <v>11020</v>
      </c>
      <c r="B530" s="90" t="s">
        <v>11021</v>
      </c>
      <c r="C530" s="90" t="s">
        <v>12</v>
      </c>
      <c r="D530" s="90" t="str">
        <f>VLOOKUP(Tabela1[[#This Row],[Origem]],'Perguntas 1 a 24'!$J$28:$K$34,2,FALSE)</f>
        <v>Sudeste</v>
      </c>
      <c r="E530" s="90" t="s">
        <v>11869</v>
      </c>
      <c r="F530" s="91">
        <v>45766</v>
      </c>
      <c r="G530" s="92">
        <v>70155</v>
      </c>
      <c r="H530" s="90" t="s">
        <v>11</v>
      </c>
      <c r="I5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30" s="90" t="s">
        <v>11021</v>
      </c>
    </row>
    <row r="531" spans="1:11">
      <c r="A531" s="90" t="s">
        <v>7636</v>
      </c>
      <c r="B531" s="90" t="s">
        <v>7637</v>
      </c>
      <c r="C531" s="90" t="s">
        <v>15</v>
      </c>
      <c r="D531" s="90" t="str">
        <f>VLOOKUP(Tabela1[[#This Row],[Origem]],'Perguntas 1 a 24'!$J$28:$K$34,2,FALSE)</f>
        <v>Sudeste</v>
      </c>
      <c r="E531" s="90" t="s">
        <v>11870</v>
      </c>
      <c r="F531" s="91">
        <v>45767</v>
      </c>
      <c r="G531" s="92">
        <v>45730</v>
      </c>
      <c r="H531" s="90" t="s">
        <v>11</v>
      </c>
      <c r="I5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31" s="90" t="s">
        <v>7637</v>
      </c>
    </row>
    <row r="532" spans="1:11">
      <c r="A532" s="90" t="s">
        <v>9269</v>
      </c>
      <c r="B532" s="90" t="s">
        <v>9270</v>
      </c>
      <c r="C532" s="90" t="s">
        <v>15</v>
      </c>
      <c r="D532" s="90" t="str">
        <f>VLOOKUP(Tabela1[[#This Row],[Origem]],'Perguntas 1 a 24'!$J$28:$K$34,2,FALSE)</f>
        <v>Sudeste</v>
      </c>
      <c r="E532" s="90" t="s">
        <v>11871</v>
      </c>
      <c r="F532" s="91">
        <v>45767</v>
      </c>
      <c r="G532" s="92">
        <v>53033</v>
      </c>
      <c r="H532" s="90" t="s">
        <v>14</v>
      </c>
      <c r="I5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32" s="90" t="s">
        <v>9270</v>
      </c>
    </row>
    <row r="533" spans="1:11">
      <c r="A533" s="90" t="s">
        <v>4203</v>
      </c>
      <c r="B533" s="90" t="s">
        <v>4204</v>
      </c>
      <c r="C533" s="90" t="s">
        <v>6</v>
      </c>
      <c r="D533" s="90" t="str">
        <f>VLOOKUP(Tabela1[[#This Row],[Origem]],'Perguntas 1 a 24'!$J$28:$K$34,2,FALSE)</f>
        <v>Nordeste</v>
      </c>
      <c r="E533" s="90" t="s">
        <v>11872</v>
      </c>
      <c r="F533" s="91">
        <v>45768</v>
      </c>
      <c r="G533" s="92">
        <v>83673</v>
      </c>
      <c r="H533" s="90" t="s">
        <v>7</v>
      </c>
      <c r="I5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33" s="90" t="s">
        <v>4204</v>
      </c>
    </row>
    <row r="534" spans="1:11">
      <c r="A534" s="90" t="s">
        <v>7708</v>
      </c>
      <c r="B534" s="90" t="s">
        <v>7709</v>
      </c>
      <c r="C534" s="90" t="s">
        <v>8</v>
      </c>
      <c r="D534" s="90" t="str">
        <f>VLOOKUP(Tabela1[[#This Row],[Origem]],'Perguntas 1 a 24'!$J$28:$K$34,2,FALSE)</f>
        <v>Nordeste</v>
      </c>
      <c r="E534" s="90" t="s">
        <v>11873</v>
      </c>
      <c r="F534" s="91">
        <v>45768</v>
      </c>
      <c r="G534" s="92">
        <v>100065</v>
      </c>
      <c r="H534" s="90" t="s">
        <v>7</v>
      </c>
      <c r="I5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34" s="90" t="s">
        <v>7709</v>
      </c>
    </row>
    <row r="535" spans="1:11">
      <c r="A535" s="90" t="s">
        <v>7750</v>
      </c>
      <c r="B535" s="90" t="s">
        <v>7751</v>
      </c>
      <c r="C535" s="90" t="s">
        <v>12</v>
      </c>
      <c r="D535" s="90" t="str">
        <f>VLOOKUP(Tabela1[[#This Row],[Origem]],'Perguntas 1 a 24'!$J$28:$K$34,2,FALSE)</f>
        <v>Sudeste</v>
      </c>
      <c r="E535" s="90" t="s">
        <v>11874</v>
      </c>
      <c r="F535" s="91">
        <v>45768</v>
      </c>
      <c r="G535" s="92">
        <v>42750</v>
      </c>
      <c r="H535" s="90" t="s">
        <v>11</v>
      </c>
      <c r="I5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35" s="90" t="s">
        <v>7751</v>
      </c>
    </row>
    <row r="536" spans="1:11">
      <c r="A536" s="90" t="s">
        <v>8583</v>
      </c>
      <c r="B536" s="90" t="s">
        <v>8584</v>
      </c>
      <c r="C536" s="90" t="s">
        <v>13</v>
      </c>
      <c r="D536" s="90" t="str">
        <f>VLOOKUP(Tabela1[[#This Row],[Origem]],'Perguntas 1 a 24'!$J$28:$K$34,2,FALSE)</f>
        <v>Sudeste</v>
      </c>
      <c r="E536" s="90" t="s">
        <v>11875</v>
      </c>
      <c r="F536" s="91">
        <v>45768</v>
      </c>
      <c r="G536" s="92">
        <v>66143</v>
      </c>
      <c r="H536" s="90" t="s">
        <v>11</v>
      </c>
      <c r="I5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36" s="90" t="s">
        <v>8584</v>
      </c>
    </row>
    <row r="537" spans="1:11">
      <c r="A537" s="90" t="s">
        <v>5506</v>
      </c>
      <c r="B537" s="90" t="s">
        <v>5507</v>
      </c>
      <c r="C537" s="90" t="s">
        <v>12</v>
      </c>
      <c r="D537" s="90" t="str">
        <f>VLOOKUP(Tabela1[[#This Row],[Origem]],'Perguntas 1 a 24'!$J$28:$K$34,2,FALSE)</f>
        <v>Sudeste</v>
      </c>
      <c r="E537" s="90" t="s">
        <v>11876</v>
      </c>
      <c r="F537" s="91">
        <v>45769</v>
      </c>
      <c r="G537" s="92">
        <v>70178</v>
      </c>
      <c r="H537" s="90" t="s">
        <v>9</v>
      </c>
      <c r="I5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37" s="90" t="s">
        <v>5507</v>
      </c>
    </row>
    <row r="538" spans="1:11">
      <c r="A538" s="90" t="s">
        <v>5824</v>
      </c>
      <c r="B538" s="90" t="s">
        <v>5825</v>
      </c>
      <c r="C538" s="90" t="s">
        <v>8</v>
      </c>
      <c r="D538" s="90" t="str">
        <f>VLOOKUP(Tabela1[[#This Row],[Origem]],'Perguntas 1 a 24'!$J$28:$K$34,2,FALSE)</f>
        <v>Nordeste</v>
      </c>
      <c r="E538" s="90" t="s">
        <v>11877</v>
      </c>
      <c r="F538" s="91">
        <v>45770</v>
      </c>
      <c r="G538" s="92">
        <v>20081</v>
      </c>
      <c r="H538" s="90" t="s">
        <v>7</v>
      </c>
      <c r="I5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38" s="90" t="s">
        <v>5825</v>
      </c>
    </row>
    <row r="539" spans="1:11">
      <c r="A539" s="90" t="s">
        <v>7386</v>
      </c>
      <c r="B539" s="90" t="s">
        <v>7387</v>
      </c>
      <c r="C539" s="90" t="s">
        <v>13</v>
      </c>
      <c r="D539" s="90" t="str">
        <f>VLOOKUP(Tabela1[[#This Row],[Origem]],'Perguntas 1 a 24'!$J$28:$K$34,2,FALSE)</f>
        <v>Sudeste</v>
      </c>
      <c r="E539" s="90" t="s">
        <v>11878</v>
      </c>
      <c r="F539" s="91">
        <v>45770</v>
      </c>
      <c r="G539" s="92">
        <v>90425</v>
      </c>
      <c r="H539" s="90" t="s">
        <v>14</v>
      </c>
      <c r="I5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39" s="90" t="s">
        <v>7387</v>
      </c>
    </row>
    <row r="540" spans="1:11">
      <c r="A540" s="90" t="s">
        <v>8264</v>
      </c>
      <c r="B540" s="90" t="s">
        <v>8265</v>
      </c>
      <c r="C540" s="90" t="s">
        <v>6</v>
      </c>
      <c r="D540" s="90" t="str">
        <f>VLOOKUP(Tabela1[[#This Row],[Origem]],'Perguntas 1 a 24'!$J$28:$K$34,2,FALSE)</f>
        <v>Nordeste</v>
      </c>
      <c r="E540" s="90" t="s">
        <v>11879</v>
      </c>
      <c r="F540" s="91">
        <v>45770</v>
      </c>
      <c r="G540" s="92">
        <v>95852</v>
      </c>
      <c r="H540" s="90" t="s">
        <v>14</v>
      </c>
      <c r="I5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0" s="90" t="s">
        <v>8265</v>
      </c>
    </row>
    <row r="541" spans="1:11">
      <c r="A541" s="90" t="s">
        <v>9923</v>
      </c>
      <c r="B541" s="90" t="s">
        <v>9924</v>
      </c>
      <c r="C541" s="90" t="s">
        <v>8</v>
      </c>
      <c r="D541" s="90" t="str">
        <f>VLOOKUP(Tabela1[[#This Row],[Origem]],'Perguntas 1 a 24'!$J$28:$K$34,2,FALSE)</f>
        <v>Nordeste</v>
      </c>
      <c r="E541" s="90" t="s">
        <v>11880</v>
      </c>
      <c r="F541" s="91">
        <v>45771</v>
      </c>
      <c r="G541" s="92">
        <v>74544</v>
      </c>
      <c r="H541" s="90" t="s">
        <v>14</v>
      </c>
      <c r="I5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1" s="90" t="s">
        <v>9924</v>
      </c>
    </row>
    <row r="542" spans="1:11">
      <c r="A542" s="90" t="s">
        <v>7134</v>
      </c>
      <c r="B542" s="90" t="s">
        <v>7135</v>
      </c>
      <c r="C542" s="90" t="s">
        <v>6</v>
      </c>
      <c r="D542" s="90" t="str">
        <f>VLOOKUP(Tabela1[[#This Row],[Origem]],'Perguntas 1 a 24'!$J$28:$K$34,2,FALSE)</f>
        <v>Nordeste</v>
      </c>
      <c r="E542" s="90" t="s">
        <v>11881</v>
      </c>
      <c r="F542" s="91">
        <v>45772</v>
      </c>
      <c r="G542" s="92">
        <v>92657</v>
      </c>
      <c r="H542" s="90" t="s">
        <v>9</v>
      </c>
      <c r="I5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2" s="90" t="s">
        <v>7135</v>
      </c>
    </row>
    <row r="543" spans="1:11">
      <c r="A543" s="90" t="s">
        <v>7942</v>
      </c>
      <c r="B543" s="90" t="s">
        <v>7943</v>
      </c>
      <c r="C543" s="90" t="s">
        <v>8</v>
      </c>
      <c r="D543" s="90" t="str">
        <f>VLOOKUP(Tabela1[[#This Row],[Origem]],'Perguntas 1 a 24'!$J$28:$K$34,2,FALSE)</f>
        <v>Nordeste</v>
      </c>
      <c r="E543" s="90" t="s">
        <v>11882</v>
      </c>
      <c r="F543" s="91">
        <v>45772</v>
      </c>
      <c r="G543" s="92">
        <v>38158</v>
      </c>
      <c r="H543" s="90" t="s">
        <v>14</v>
      </c>
      <c r="I5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43" s="90" t="s">
        <v>7943</v>
      </c>
    </row>
    <row r="544" spans="1:11">
      <c r="A544" s="90" t="s">
        <v>9195</v>
      </c>
      <c r="B544" s="90" t="s">
        <v>9196</v>
      </c>
      <c r="C544" s="90" t="s">
        <v>10</v>
      </c>
      <c r="D544" s="90" t="str">
        <f>VLOOKUP(Tabela1[[#This Row],[Origem]],'Perguntas 1 a 24'!$J$28:$K$34,2,FALSE)</f>
        <v>Centro-Oeste</v>
      </c>
      <c r="E544" s="90" t="s">
        <v>11883</v>
      </c>
      <c r="F544" s="91">
        <v>45772</v>
      </c>
      <c r="G544" s="92">
        <v>87791</v>
      </c>
      <c r="H544" s="90" t="s">
        <v>11</v>
      </c>
      <c r="I5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4" s="90" t="s">
        <v>9196</v>
      </c>
    </row>
    <row r="545" spans="1:11">
      <c r="A545" s="90" t="s">
        <v>5028</v>
      </c>
      <c r="B545" s="90" t="s">
        <v>5029</v>
      </c>
      <c r="C545" s="90" t="s">
        <v>10</v>
      </c>
      <c r="D545" s="90" t="str">
        <f>VLOOKUP(Tabela1[[#This Row],[Origem]],'Perguntas 1 a 24'!$J$28:$K$34,2,FALSE)</f>
        <v>Centro-Oeste</v>
      </c>
      <c r="E545" s="90" t="s">
        <v>11884</v>
      </c>
      <c r="F545" s="91">
        <v>45773</v>
      </c>
      <c r="G545" s="92">
        <v>118100</v>
      </c>
      <c r="H545" s="90" t="s">
        <v>9</v>
      </c>
      <c r="I5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5" s="90" t="s">
        <v>5029</v>
      </c>
    </row>
    <row r="546" spans="1:11">
      <c r="A546" s="90" t="s">
        <v>8707</v>
      </c>
      <c r="B546" s="90" t="s">
        <v>8708</v>
      </c>
      <c r="C546" s="90" t="s">
        <v>16</v>
      </c>
      <c r="D546" s="90" t="str">
        <f>VLOOKUP(Tabela1[[#This Row],[Origem]],'Perguntas 1 a 24'!$J$28:$K$34,2,FALSE)</f>
        <v>Sudeste</v>
      </c>
      <c r="E546" s="90" t="s">
        <v>11885</v>
      </c>
      <c r="F546" s="91">
        <v>45777</v>
      </c>
      <c r="G546" s="92">
        <v>21636</v>
      </c>
      <c r="H546" s="90" t="s">
        <v>7</v>
      </c>
      <c r="I5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46" s="90" t="s">
        <v>8708</v>
      </c>
    </row>
    <row r="547" spans="1:11">
      <c r="A547" s="90" t="s">
        <v>6268</v>
      </c>
      <c r="B547" s="90" t="s">
        <v>6269</v>
      </c>
      <c r="C547" s="90" t="s">
        <v>16</v>
      </c>
      <c r="D547" s="90" t="str">
        <f>VLOOKUP(Tabela1[[#This Row],[Origem]],'Perguntas 1 a 24'!$J$28:$K$34,2,FALSE)</f>
        <v>Sudeste</v>
      </c>
      <c r="E547" s="90" t="s">
        <v>11886</v>
      </c>
      <c r="F547" s="91">
        <v>45778</v>
      </c>
      <c r="G547" s="92">
        <v>85537</v>
      </c>
      <c r="H547" s="90" t="s">
        <v>9</v>
      </c>
      <c r="I5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7" s="90" t="s">
        <v>6269</v>
      </c>
    </row>
    <row r="548" spans="1:11">
      <c r="A548" s="90" t="s">
        <v>9429</v>
      </c>
      <c r="B548" s="90" t="s">
        <v>9430</v>
      </c>
      <c r="C548" s="90" t="s">
        <v>8</v>
      </c>
      <c r="D548" s="90" t="str">
        <f>VLOOKUP(Tabela1[[#This Row],[Origem]],'Perguntas 1 a 24'!$J$28:$K$34,2,FALSE)</f>
        <v>Nordeste</v>
      </c>
      <c r="E548" s="90" t="s">
        <v>11887</v>
      </c>
      <c r="F548" s="91">
        <v>45778</v>
      </c>
      <c r="G548" s="92">
        <v>118431</v>
      </c>
      <c r="H548" s="90" t="s">
        <v>9</v>
      </c>
      <c r="I5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8" s="90" t="s">
        <v>9430</v>
      </c>
    </row>
    <row r="549" spans="1:11">
      <c r="A549" s="90" t="s">
        <v>10455</v>
      </c>
      <c r="B549" s="90" t="s">
        <v>10456</v>
      </c>
      <c r="C549" s="90" t="s">
        <v>16</v>
      </c>
      <c r="D549" s="90" t="str">
        <f>VLOOKUP(Tabela1[[#This Row],[Origem]],'Perguntas 1 a 24'!$J$28:$K$34,2,FALSE)</f>
        <v>Sudeste</v>
      </c>
      <c r="E549" s="90" t="s">
        <v>11888</v>
      </c>
      <c r="F549" s="91">
        <v>45778</v>
      </c>
      <c r="G549" s="92">
        <v>107408</v>
      </c>
      <c r="H549" s="90" t="s">
        <v>7</v>
      </c>
      <c r="I5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49" s="90" t="s">
        <v>10456</v>
      </c>
    </row>
    <row r="550" spans="1:11">
      <c r="A550" s="90" t="s">
        <v>9859</v>
      </c>
      <c r="B550" s="90" t="s">
        <v>9860</v>
      </c>
      <c r="C550" s="90" t="s">
        <v>13</v>
      </c>
      <c r="D550" s="90" t="str">
        <f>VLOOKUP(Tabela1[[#This Row],[Origem]],'Perguntas 1 a 24'!$J$28:$K$34,2,FALSE)</f>
        <v>Sudeste</v>
      </c>
      <c r="E550" s="90" t="s">
        <v>11889</v>
      </c>
      <c r="F550" s="91">
        <v>45779</v>
      </c>
      <c r="G550" s="92">
        <v>117955</v>
      </c>
      <c r="H550" s="90" t="s">
        <v>9</v>
      </c>
      <c r="I5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0" s="90" t="s">
        <v>9860</v>
      </c>
    </row>
    <row r="551" spans="1:11">
      <c r="A551" s="90" t="s">
        <v>10996</v>
      </c>
      <c r="B551" s="90" t="s">
        <v>10997</v>
      </c>
      <c r="C551" s="90" t="s">
        <v>13</v>
      </c>
      <c r="D551" s="90" t="str">
        <f>VLOOKUP(Tabela1[[#This Row],[Origem]],'Perguntas 1 a 24'!$J$28:$K$34,2,FALSE)</f>
        <v>Sudeste</v>
      </c>
      <c r="E551" s="90" t="s">
        <v>11890</v>
      </c>
      <c r="F551" s="91">
        <v>45779</v>
      </c>
      <c r="G551" s="92">
        <v>56221</v>
      </c>
      <c r="H551" s="90" t="s">
        <v>9</v>
      </c>
      <c r="I5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1" s="90" t="s">
        <v>10997</v>
      </c>
    </row>
    <row r="552" spans="1:11">
      <c r="A552" s="90" t="s">
        <v>6044</v>
      </c>
      <c r="B552" s="90" t="s">
        <v>6045</v>
      </c>
      <c r="C552" s="90" t="s">
        <v>15</v>
      </c>
      <c r="D552" s="90" t="str">
        <f>VLOOKUP(Tabela1[[#This Row],[Origem]],'Perguntas 1 a 24'!$J$28:$K$34,2,FALSE)</f>
        <v>Sudeste</v>
      </c>
      <c r="E552" s="90" t="s">
        <v>11891</v>
      </c>
      <c r="F552" s="91">
        <v>45781</v>
      </c>
      <c r="G552" s="92">
        <v>25339</v>
      </c>
      <c r="H552" s="90" t="s">
        <v>7</v>
      </c>
      <c r="I5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52" s="90" t="s">
        <v>6045</v>
      </c>
    </row>
    <row r="553" spans="1:11">
      <c r="A553" s="90" t="s">
        <v>4066</v>
      </c>
      <c r="B553" s="90" t="s">
        <v>4067</v>
      </c>
      <c r="C553" s="90" t="s">
        <v>16</v>
      </c>
      <c r="D553" s="90" t="str">
        <f>VLOOKUP(Tabela1[[#This Row],[Origem]],'Perguntas 1 a 24'!$J$28:$K$34,2,FALSE)</f>
        <v>Sudeste</v>
      </c>
      <c r="E553" s="90" t="s">
        <v>11892</v>
      </c>
      <c r="F553" s="91">
        <v>45782</v>
      </c>
      <c r="G553" s="92">
        <v>116745</v>
      </c>
      <c r="H553" s="90" t="s">
        <v>14</v>
      </c>
      <c r="I5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3" s="90" t="s">
        <v>4067</v>
      </c>
    </row>
    <row r="554" spans="1:11">
      <c r="A554" s="90" t="s">
        <v>6084</v>
      </c>
      <c r="B554" s="90" t="s">
        <v>6085</v>
      </c>
      <c r="C554" s="90" t="s">
        <v>13</v>
      </c>
      <c r="D554" s="90" t="str">
        <f>VLOOKUP(Tabela1[[#This Row],[Origem]],'Perguntas 1 a 24'!$J$28:$K$34,2,FALSE)</f>
        <v>Sudeste</v>
      </c>
      <c r="E554" s="90" t="s">
        <v>11893</v>
      </c>
      <c r="F554" s="91">
        <v>45782</v>
      </c>
      <c r="G554" s="92">
        <v>75316</v>
      </c>
      <c r="H554" s="90" t="s">
        <v>9</v>
      </c>
      <c r="I5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4" s="90" t="s">
        <v>6085</v>
      </c>
    </row>
    <row r="555" spans="1:11">
      <c r="A555" s="90" t="s">
        <v>7920</v>
      </c>
      <c r="B555" s="90" t="s">
        <v>7921</v>
      </c>
      <c r="C555" s="90" t="s">
        <v>10</v>
      </c>
      <c r="D555" s="90" t="str">
        <f>VLOOKUP(Tabela1[[#This Row],[Origem]],'Perguntas 1 a 24'!$J$28:$K$34,2,FALSE)</f>
        <v>Centro-Oeste</v>
      </c>
      <c r="E555" s="90" t="s">
        <v>11894</v>
      </c>
      <c r="F555" s="91">
        <v>45782</v>
      </c>
      <c r="G555" s="92">
        <v>73391</v>
      </c>
      <c r="H555" s="90" t="s">
        <v>11</v>
      </c>
      <c r="I5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5" s="90" t="s">
        <v>7921</v>
      </c>
    </row>
    <row r="556" spans="1:11">
      <c r="A556" s="90" t="s">
        <v>5970</v>
      </c>
      <c r="B556" s="90" t="s">
        <v>5971</v>
      </c>
      <c r="C556" s="90" t="s">
        <v>16</v>
      </c>
      <c r="D556" s="90" t="str">
        <f>VLOOKUP(Tabela1[[#This Row],[Origem]],'Perguntas 1 a 24'!$J$28:$K$34,2,FALSE)</f>
        <v>Sudeste</v>
      </c>
      <c r="E556" s="90" t="s">
        <v>11895</v>
      </c>
      <c r="F556" s="91">
        <v>45783</v>
      </c>
      <c r="G556" s="92">
        <v>87330</v>
      </c>
      <c r="H556" s="90" t="s">
        <v>7</v>
      </c>
      <c r="I5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6" s="90" t="s">
        <v>5971</v>
      </c>
    </row>
    <row r="557" spans="1:11">
      <c r="A557" s="90" t="s">
        <v>10703</v>
      </c>
      <c r="B557" s="90" t="s">
        <v>10704</v>
      </c>
      <c r="C557" s="90" t="s">
        <v>12</v>
      </c>
      <c r="D557" s="90" t="str">
        <f>VLOOKUP(Tabela1[[#This Row],[Origem]],'Perguntas 1 a 24'!$J$28:$K$34,2,FALSE)</f>
        <v>Sudeste</v>
      </c>
      <c r="E557" s="90" t="s">
        <v>11896</v>
      </c>
      <c r="F557" s="91">
        <v>45784</v>
      </c>
      <c r="G557" s="92">
        <v>70649</v>
      </c>
      <c r="H557" s="90" t="s">
        <v>7</v>
      </c>
      <c r="I5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7" s="90" t="s">
        <v>10704</v>
      </c>
    </row>
    <row r="558" spans="1:11">
      <c r="A558" s="90" t="s">
        <v>4160</v>
      </c>
      <c r="B558" s="90" t="s">
        <v>4161</v>
      </c>
      <c r="C558" s="90" t="s">
        <v>12</v>
      </c>
      <c r="D558" s="90" t="str">
        <f>VLOOKUP(Tabela1[[#This Row],[Origem]],'Perguntas 1 a 24'!$J$28:$K$34,2,FALSE)</f>
        <v>Sudeste</v>
      </c>
      <c r="E558" s="90" t="s">
        <v>11897</v>
      </c>
      <c r="F558" s="91">
        <v>45786</v>
      </c>
      <c r="G558" s="92">
        <v>85173</v>
      </c>
      <c r="H558" s="90" t="s">
        <v>11</v>
      </c>
      <c r="I5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8" s="90" t="s">
        <v>4161</v>
      </c>
    </row>
    <row r="559" spans="1:11">
      <c r="A559" s="90" t="s">
        <v>9423</v>
      </c>
      <c r="B559" s="90" t="s">
        <v>9424</v>
      </c>
      <c r="C559" s="90" t="s">
        <v>10</v>
      </c>
      <c r="D559" s="90" t="str">
        <f>VLOOKUP(Tabela1[[#This Row],[Origem]],'Perguntas 1 a 24'!$J$28:$K$34,2,FALSE)</f>
        <v>Centro-Oeste</v>
      </c>
      <c r="E559" s="90" t="s">
        <v>11898</v>
      </c>
      <c r="F559" s="91">
        <v>45786</v>
      </c>
      <c r="G559" s="92">
        <v>67302</v>
      </c>
      <c r="H559" s="90" t="s">
        <v>7</v>
      </c>
      <c r="I5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59" s="90" t="s">
        <v>9424</v>
      </c>
    </row>
    <row r="560" spans="1:11">
      <c r="A560" s="90" t="s">
        <v>9551</v>
      </c>
      <c r="B560" s="90" t="s">
        <v>9552</v>
      </c>
      <c r="C560" s="90" t="s">
        <v>6</v>
      </c>
      <c r="D560" s="90" t="str">
        <f>VLOOKUP(Tabela1[[#This Row],[Origem]],'Perguntas 1 a 24'!$J$28:$K$34,2,FALSE)</f>
        <v>Nordeste</v>
      </c>
      <c r="E560" s="90" t="s">
        <v>11899</v>
      </c>
      <c r="F560" s="91">
        <v>45786</v>
      </c>
      <c r="G560" s="92">
        <v>98592</v>
      </c>
      <c r="H560" s="90" t="s">
        <v>7</v>
      </c>
      <c r="I5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60" s="90" t="s">
        <v>9552</v>
      </c>
    </row>
    <row r="561" spans="1:11">
      <c r="A561" s="90" t="s">
        <v>10615</v>
      </c>
      <c r="B561" s="90" t="s">
        <v>10616</v>
      </c>
      <c r="C561" s="90" t="s">
        <v>6</v>
      </c>
      <c r="D561" s="90" t="str">
        <f>VLOOKUP(Tabela1[[#This Row],[Origem]],'Perguntas 1 a 24'!$J$28:$K$34,2,FALSE)</f>
        <v>Nordeste</v>
      </c>
      <c r="E561" s="90" t="s">
        <v>11900</v>
      </c>
      <c r="F561" s="91">
        <v>45787</v>
      </c>
      <c r="G561" s="92">
        <v>50560</v>
      </c>
      <c r="H561" s="90" t="s">
        <v>7</v>
      </c>
      <c r="I5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61" s="90" t="s">
        <v>10616</v>
      </c>
    </row>
    <row r="562" spans="1:11">
      <c r="A562" s="90" t="s">
        <v>10785</v>
      </c>
      <c r="B562" s="90" t="s">
        <v>10786</v>
      </c>
      <c r="C562" s="90" t="s">
        <v>12</v>
      </c>
      <c r="D562" s="90" t="str">
        <f>VLOOKUP(Tabela1[[#This Row],[Origem]],'Perguntas 1 a 24'!$J$28:$K$34,2,FALSE)</f>
        <v>Sudeste</v>
      </c>
      <c r="E562" s="90" t="s">
        <v>11901</v>
      </c>
      <c r="F562" s="91">
        <v>45787</v>
      </c>
      <c r="G562" s="92">
        <v>95745</v>
      </c>
      <c r="H562" s="90" t="s">
        <v>14</v>
      </c>
      <c r="I5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62" s="90" t="s">
        <v>10786</v>
      </c>
    </row>
    <row r="563" spans="1:11">
      <c r="A563" s="90" t="s">
        <v>7910</v>
      </c>
      <c r="B563" s="90" t="s">
        <v>7911</v>
      </c>
      <c r="C563" s="90" t="s">
        <v>13</v>
      </c>
      <c r="D563" s="90" t="str">
        <f>VLOOKUP(Tabela1[[#This Row],[Origem]],'Perguntas 1 a 24'!$J$28:$K$34,2,FALSE)</f>
        <v>Sudeste</v>
      </c>
      <c r="E563" s="90" t="s">
        <v>11902</v>
      </c>
      <c r="F563" s="91">
        <v>45788</v>
      </c>
      <c r="G563" s="92">
        <v>69198</v>
      </c>
      <c r="H563" s="90" t="s">
        <v>7</v>
      </c>
      <c r="I5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63" s="90" t="s">
        <v>7911</v>
      </c>
    </row>
    <row r="564" spans="1:11">
      <c r="A564" s="90" t="s">
        <v>9289</v>
      </c>
      <c r="B564" s="90" t="s">
        <v>9290</v>
      </c>
      <c r="C564" s="90" t="s">
        <v>13</v>
      </c>
      <c r="D564" s="90" t="str">
        <f>VLOOKUP(Tabela1[[#This Row],[Origem]],'Perguntas 1 a 24'!$J$28:$K$34,2,FALSE)</f>
        <v>Sudeste</v>
      </c>
      <c r="E564" s="90" t="s">
        <v>11903</v>
      </c>
      <c r="F564" s="91">
        <v>45788</v>
      </c>
      <c r="G564" s="92">
        <v>30237</v>
      </c>
      <c r="H564" s="90" t="s">
        <v>11</v>
      </c>
      <c r="I5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64" s="90" t="s">
        <v>9290</v>
      </c>
    </row>
    <row r="565" spans="1:11">
      <c r="A565" s="90" t="s">
        <v>6172</v>
      </c>
      <c r="B565" s="90" t="s">
        <v>6173</v>
      </c>
      <c r="C565" s="90" t="s">
        <v>15</v>
      </c>
      <c r="D565" s="90" t="str">
        <f>VLOOKUP(Tabela1[[#This Row],[Origem]],'Perguntas 1 a 24'!$J$28:$K$34,2,FALSE)</f>
        <v>Sudeste</v>
      </c>
      <c r="E565" s="90" t="s">
        <v>11904</v>
      </c>
      <c r="F565" s="91">
        <v>45789</v>
      </c>
      <c r="G565" s="92">
        <v>43191</v>
      </c>
      <c r="H565" s="90" t="s">
        <v>11</v>
      </c>
      <c r="I5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65" s="90" t="s">
        <v>6173</v>
      </c>
    </row>
    <row r="566" spans="1:11">
      <c r="A566" s="90" t="s">
        <v>8819</v>
      </c>
      <c r="B566" s="90" t="s">
        <v>8820</v>
      </c>
      <c r="C566" s="90" t="s">
        <v>15</v>
      </c>
      <c r="D566" s="90" t="str">
        <f>VLOOKUP(Tabela1[[#This Row],[Origem]],'Perguntas 1 a 24'!$J$28:$K$34,2,FALSE)</f>
        <v>Sudeste</v>
      </c>
      <c r="E566" s="90" t="s">
        <v>11905</v>
      </c>
      <c r="F566" s="91">
        <v>45789</v>
      </c>
      <c r="G566" s="92">
        <v>26933</v>
      </c>
      <c r="H566" s="90" t="s">
        <v>11</v>
      </c>
      <c r="I5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66" s="90" t="s">
        <v>8820</v>
      </c>
    </row>
    <row r="567" spans="1:11">
      <c r="A567" s="90" t="s">
        <v>9097</v>
      </c>
      <c r="B567" s="90" t="s">
        <v>9098</v>
      </c>
      <c r="C567" s="90" t="s">
        <v>15</v>
      </c>
      <c r="D567" s="90" t="str">
        <f>VLOOKUP(Tabela1[[#This Row],[Origem]],'Perguntas 1 a 24'!$J$28:$K$34,2,FALSE)</f>
        <v>Sudeste</v>
      </c>
      <c r="E567" s="90" t="s">
        <v>11906</v>
      </c>
      <c r="F567" s="91">
        <v>45789</v>
      </c>
      <c r="G567" s="92">
        <v>108839</v>
      </c>
      <c r="H567" s="90" t="s">
        <v>11</v>
      </c>
      <c r="I5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67" s="90" t="s">
        <v>9098</v>
      </c>
    </row>
    <row r="568" spans="1:11">
      <c r="A568" s="90" t="s">
        <v>3728</v>
      </c>
      <c r="B568" s="90" t="s">
        <v>3729</v>
      </c>
      <c r="C568" s="90" t="s">
        <v>16</v>
      </c>
      <c r="D568" s="90" t="str">
        <f>VLOOKUP(Tabela1[[#This Row],[Origem]],'Perguntas 1 a 24'!$J$28:$K$34,2,FALSE)</f>
        <v>Sudeste</v>
      </c>
      <c r="E568" s="90" t="s">
        <v>11907</v>
      </c>
      <c r="F568" s="91">
        <v>45790</v>
      </c>
      <c r="G568" s="92">
        <v>78834</v>
      </c>
      <c r="H568" s="90" t="s">
        <v>7</v>
      </c>
      <c r="I5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68" s="90" t="s">
        <v>3729</v>
      </c>
    </row>
    <row r="569" spans="1:11">
      <c r="A569" s="90" t="s">
        <v>5358</v>
      </c>
      <c r="B569" s="90" t="s">
        <v>5359</v>
      </c>
      <c r="C569" s="90" t="s">
        <v>12</v>
      </c>
      <c r="D569" s="90" t="str">
        <f>VLOOKUP(Tabela1[[#This Row],[Origem]],'Perguntas 1 a 24'!$J$28:$K$34,2,FALSE)</f>
        <v>Sudeste</v>
      </c>
      <c r="E569" s="90" t="s">
        <v>11908</v>
      </c>
      <c r="F569" s="91">
        <v>45790</v>
      </c>
      <c r="G569" s="92">
        <v>62308</v>
      </c>
      <c r="H569" s="90" t="s">
        <v>11</v>
      </c>
      <c r="I5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69" s="90" t="s">
        <v>5359</v>
      </c>
    </row>
    <row r="570" spans="1:11">
      <c r="A570" s="90" t="s">
        <v>9937</v>
      </c>
      <c r="B570" s="90" t="s">
        <v>9938</v>
      </c>
      <c r="C570" s="90" t="s">
        <v>10</v>
      </c>
      <c r="D570" s="90" t="str">
        <f>VLOOKUP(Tabela1[[#This Row],[Origem]],'Perguntas 1 a 24'!$J$28:$K$34,2,FALSE)</f>
        <v>Centro-Oeste</v>
      </c>
      <c r="E570" s="90" t="s">
        <v>11909</v>
      </c>
      <c r="F570" s="91">
        <v>45790</v>
      </c>
      <c r="G570" s="92">
        <v>60393</v>
      </c>
      <c r="H570" s="90" t="s">
        <v>14</v>
      </c>
      <c r="I5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0" s="90" t="s">
        <v>9938</v>
      </c>
    </row>
    <row r="571" spans="1:11">
      <c r="A571" s="90" t="s">
        <v>11229</v>
      </c>
      <c r="B571" s="90" t="s">
        <v>11230</v>
      </c>
      <c r="C571" s="90" t="s">
        <v>16</v>
      </c>
      <c r="D571" s="90" t="str">
        <f>VLOOKUP(Tabela1[[#This Row],[Origem]],'Perguntas 1 a 24'!$J$28:$K$34,2,FALSE)</f>
        <v>Sudeste</v>
      </c>
      <c r="E571" s="90" t="s">
        <v>11910</v>
      </c>
      <c r="F571" s="91">
        <v>45791</v>
      </c>
      <c r="G571" s="92">
        <v>59367</v>
      </c>
      <c r="H571" s="90" t="s">
        <v>14</v>
      </c>
      <c r="I5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1" s="90" t="s">
        <v>11230</v>
      </c>
    </row>
    <row r="572" spans="1:11">
      <c r="A572" s="90" t="s">
        <v>4156</v>
      </c>
      <c r="B572" s="90" t="s">
        <v>4157</v>
      </c>
      <c r="C572" s="90" t="s">
        <v>13</v>
      </c>
      <c r="D572" s="90" t="str">
        <f>VLOOKUP(Tabela1[[#This Row],[Origem]],'Perguntas 1 a 24'!$J$28:$K$34,2,FALSE)</f>
        <v>Sudeste</v>
      </c>
      <c r="E572" s="90" t="s">
        <v>11911</v>
      </c>
      <c r="F572" s="91">
        <v>45792</v>
      </c>
      <c r="G572" s="92">
        <v>108614</v>
      </c>
      <c r="H572" s="90" t="s">
        <v>7</v>
      </c>
      <c r="I5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2" s="90" t="s">
        <v>4157</v>
      </c>
    </row>
    <row r="573" spans="1:11">
      <c r="A573" s="90" t="s">
        <v>7860</v>
      </c>
      <c r="B573" s="90" t="s">
        <v>7861</v>
      </c>
      <c r="C573" s="90" t="s">
        <v>10</v>
      </c>
      <c r="D573" s="90" t="str">
        <f>VLOOKUP(Tabela1[[#This Row],[Origem]],'Perguntas 1 a 24'!$J$28:$K$34,2,FALSE)</f>
        <v>Centro-Oeste</v>
      </c>
      <c r="E573" s="90" t="s">
        <v>11912</v>
      </c>
      <c r="F573" s="91">
        <v>45793</v>
      </c>
      <c r="G573" s="92">
        <v>65669</v>
      </c>
      <c r="H573" s="90" t="s">
        <v>11</v>
      </c>
      <c r="I5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3" s="90" t="s">
        <v>7861</v>
      </c>
    </row>
    <row r="574" spans="1:11">
      <c r="A574" s="90" t="s">
        <v>8200</v>
      </c>
      <c r="B574" s="90" t="s">
        <v>8201</v>
      </c>
      <c r="C574" s="90" t="s">
        <v>10</v>
      </c>
      <c r="D574" s="90" t="str">
        <f>VLOOKUP(Tabela1[[#This Row],[Origem]],'Perguntas 1 a 24'!$J$28:$K$34,2,FALSE)</f>
        <v>Centro-Oeste</v>
      </c>
      <c r="E574" s="90" t="s">
        <v>11913</v>
      </c>
      <c r="F574" s="91">
        <v>45793</v>
      </c>
      <c r="G574" s="92">
        <v>57587</v>
      </c>
      <c r="H574" s="90" t="s">
        <v>9</v>
      </c>
      <c r="I5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4" s="90" t="s">
        <v>8201</v>
      </c>
    </row>
    <row r="575" spans="1:11">
      <c r="A575" s="90" t="s">
        <v>8991</v>
      </c>
      <c r="B575" s="90" t="s">
        <v>8992</v>
      </c>
      <c r="C575" s="90" t="s">
        <v>10</v>
      </c>
      <c r="D575" s="90" t="str">
        <f>VLOOKUP(Tabela1[[#This Row],[Origem]],'Perguntas 1 a 24'!$J$28:$K$34,2,FALSE)</f>
        <v>Centro-Oeste</v>
      </c>
      <c r="E575" s="90" t="s">
        <v>11914</v>
      </c>
      <c r="F575" s="91">
        <v>45793</v>
      </c>
      <c r="G575" s="92">
        <v>98645</v>
      </c>
      <c r="H575" s="90" t="s">
        <v>11</v>
      </c>
      <c r="I5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5" s="90" t="s">
        <v>8992</v>
      </c>
    </row>
    <row r="576" spans="1:11">
      <c r="A576" s="90" t="s">
        <v>4970</v>
      </c>
      <c r="B576" s="90" t="s">
        <v>4971</v>
      </c>
      <c r="C576" s="90" t="s">
        <v>12</v>
      </c>
      <c r="D576" s="90" t="str">
        <f>VLOOKUP(Tabela1[[#This Row],[Origem]],'Perguntas 1 a 24'!$J$28:$K$34,2,FALSE)</f>
        <v>Sudeste</v>
      </c>
      <c r="E576" s="90" t="s">
        <v>11915</v>
      </c>
      <c r="F576" s="91">
        <v>45794</v>
      </c>
      <c r="G576" s="92">
        <v>81183</v>
      </c>
      <c r="H576" s="90" t="s">
        <v>7</v>
      </c>
      <c r="I5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6" s="90" t="s">
        <v>4971</v>
      </c>
    </row>
    <row r="577" spans="1:11">
      <c r="A577" s="90" t="s">
        <v>5316</v>
      </c>
      <c r="B577" s="90" t="s">
        <v>5317</v>
      </c>
      <c r="C577" s="90" t="s">
        <v>15</v>
      </c>
      <c r="D577" s="90" t="str">
        <f>VLOOKUP(Tabela1[[#This Row],[Origem]],'Perguntas 1 a 24'!$J$28:$K$34,2,FALSE)</f>
        <v>Sudeste</v>
      </c>
      <c r="E577" s="90" t="s">
        <v>11916</v>
      </c>
      <c r="F577" s="91">
        <v>45795</v>
      </c>
      <c r="G577" s="92">
        <v>68664</v>
      </c>
      <c r="H577" s="90" t="s">
        <v>9</v>
      </c>
      <c r="I5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7" s="90" t="s">
        <v>5317</v>
      </c>
    </row>
    <row r="578" spans="1:11">
      <c r="A578" s="90" t="s">
        <v>5822</v>
      </c>
      <c r="B578" s="90" t="s">
        <v>5823</v>
      </c>
      <c r="C578" s="90" t="s">
        <v>16</v>
      </c>
      <c r="D578" s="90" t="str">
        <f>VLOOKUP(Tabela1[[#This Row],[Origem]],'Perguntas 1 a 24'!$J$28:$K$34,2,FALSE)</f>
        <v>Sudeste</v>
      </c>
      <c r="E578" s="90" t="s">
        <v>11917</v>
      </c>
      <c r="F578" s="91">
        <v>45795</v>
      </c>
      <c r="G578" s="92">
        <v>87064</v>
      </c>
      <c r="H578" s="90" t="s">
        <v>9</v>
      </c>
      <c r="I5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8" s="90" t="s">
        <v>5823</v>
      </c>
    </row>
    <row r="579" spans="1:11">
      <c r="A579" s="90" t="s">
        <v>7030</v>
      </c>
      <c r="B579" s="90" t="s">
        <v>7031</v>
      </c>
      <c r="C579" s="90" t="s">
        <v>10</v>
      </c>
      <c r="D579" s="90" t="str">
        <f>VLOOKUP(Tabela1[[#This Row],[Origem]],'Perguntas 1 a 24'!$J$28:$K$34,2,FALSE)</f>
        <v>Centro-Oeste</v>
      </c>
      <c r="E579" s="90" t="s">
        <v>11918</v>
      </c>
      <c r="F579" s="91">
        <v>45795</v>
      </c>
      <c r="G579" s="92">
        <v>107855</v>
      </c>
      <c r="H579" s="90" t="s">
        <v>14</v>
      </c>
      <c r="I5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79" s="90" t="s">
        <v>7031</v>
      </c>
    </row>
    <row r="580" spans="1:11">
      <c r="A580" s="90" t="s">
        <v>7122</v>
      </c>
      <c r="B580" s="90" t="s">
        <v>7123</v>
      </c>
      <c r="C580" s="90" t="s">
        <v>15</v>
      </c>
      <c r="D580" s="90" t="str">
        <f>VLOOKUP(Tabela1[[#This Row],[Origem]],'Perguntas 1 a 24'!$J$28:$K$34,2,FALSE)</f>
        <v>Sudeste</v>
      </c>
      <c r="E580" s="90" t="s">
        <v>11919</v>
      </c>
      <c r="F580" s="91">
        <v>45795</v>
      </c>
      <c r="G580" s="92">
        <v>100444</v>
      </c>
      <c r="H580" s="90" t="s">
        <v>9</v>
      </c>
      <c r="I5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80" s="90" t="s">
        <v>7123</v>
      </c>
    </row>
    <row r="581" spans="1:11">
      <c r="A581" s="90" t="s">
        <v>7318</v>
      </c>
      <c r="B581" s="90" t="s">
        <v>7319</v>
      </c>
      <c r="C581" s="90" t="s">
        <v>8</v>
      </c>
      <c r="D581" s="90" t="str">
        <f>VLOOKUP(Tabela1[[#This Row],[Origem]],'Perguntas 1 a 24'!$J$28:$K$34,2,FALSE)</f>
        <v>Nordeste</v>
      </c>
      <c r="E581" s="90" t="s">
        <v>11920</v>
      </c>
      <c r="F581" s="91">
        <v>45795</v>
      </c>
      <c r="G581" s="92">
        <v>54728</v>
      </c>
      <c r="H581" s="90" t="s">
        <v>9</v>
      </c>
      <c r="I5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81" s="90" t="s">
        <v>7319</v>
      </c>
    </row>
    <row r="582" spans="1:11">
      <c r="A582" s="90" t="s">
        <v>4496</v>
      </c>
      <c r="B582" s="90" t="s">
        <v>4497</v>
      </c>
      <c r="C582" s="90" t="s">
        <v>8</v>
      </c>
      <c r="D582" s="90" t="str">
        <f>VLOOKUP(Tabela1[[#This Row],[Origem]],'Perguntas 1 a 24'!$J$28:$K$34,2,FALSE)</f>
        <v>Nordeste</v>
      </c>
      <c r="E582" s="90" t="s">
        <v>11921</v>
      </c>
      <c r="F582" s="91">
        <v>45796</v>
      </c>
      <c r="G582" s="92">
        <v>43406</v>
      </c>
      <c r="H582" s="90" t="s">
        <v>11</v>
      </c>
      <c r="I5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82" s="90" t="s">
        <v>4497</v>
      </c>
    </row>
    <row r="583" spans="1:11">
      <c r="A583" s="90" t="s">
        <v>4716</v>
      </c>
      <c r="B583" s="90" t="s">
        <v>4717</v>
      </c>
      <c r="C583" s="90" t="s">
        <v>13</v>
      </c>
      <c r="D583" s="90" t="str">
        <f>VLOOKUP(Tabela1[[#This Row],[Origem]],'Perguntas 1 a 24'!$J$28:$K$34,2,FALSE)</f>
        <v>Sudeste</v>
      </c>
      <c r="E583" s="90" t="s">
        <v>11922</v>
      </c>
      <c r="F583" s="91">
        <v>45796</v>
      </c>
      <c r="G583" s="92">
        <v>69919</v>
      </c>
      <c r="H583" s="90" t="s">
        <v>7</v>
      </c>
      <c r="I5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83" s="90" t="s">
        <v>4717</v>
      </c>
    </row>
    <row r="584" spans="1:11">
      <c r="A584" s="90" t="s">
        <v>4930</v>
      </c>
      <c r="B584" s="90" t="s">
        <v>4931</v>
      </c>
      <c r="C584" s="90" t="s">
        <v>16</v>
      </c>
      <c r="D584" s="90" t="str">
        <f>VLOOKUP(Tabela1[[#This Row],[Origem]],'Perguntas 1 a 24'!$J$28:$K$34,2,FALSE)</f>
        <v>Sudeste</v>
      </c>
      <c r="E584" s="90" t="s">
        <v>11923</v>
      </c>
      <c r="F584" s="91">
        <v>45796</v>
      </c>
      <c r="G584" s="92">
        <v>45413</v>
      </c>
      <c r="H584" s="90" t="s">
        <v>11</v>
      </c>
      <c r="I5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84" s="90" t="s">
        <v>4931</v>
      </c>
    </row>
    <row r="585" spans="1:11">
      <c r="A585" s="90" t="s">
        <v>8014</v>
      </c>
      <c r="B585" s="90" t="s">
        <v>8015</v>
      </c>
      <c r="C585" s="90" t="s">
        <v>6</v>
      </c>
      <c r="D585" s="90" t="str">
        <f>VLOOKUP(Tabela1[[#This Row],[Origem]],'Perguntas 1 a 24'!$J$28:$K$34,2,FALSE)</f>
        <v>Nordeste</v>
      </c>
      <c r="E585" s="90" t="s">
        <v>11924</v>
      </c>
      <c r="F585" s="91">
        <v>45796</v>
      </c>
      <c r="G585" s="92">
        <v>63812</v>
      </c>
      <c r="H585" s="90" t="s">
        <v>14</v>
      </c>
      <c r="I5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85" s="90" t="s">
        <v>8015</v>
      </c>
    </row>
    <row r="586" spans="1:11">
      <c r="A586" s="90" t="s">
        <v>11155</v>
      </c>
      <c r="B586" s="90" t="s">
        <v>11156</v>
      </c>
      <c r="C586" s="90" t="s">
        <v>6</v>
      </c>
      <c r="D586" s="90" t="str">
        <f>VLOOKUP(Tabela1[[#This Row],[Origem]],'Perguntas 1 a 24'!$J$28:$K$34,2,FALSE)</f>
        <v>Nordeste</v>
      </c>
      <c r="E586" s="90" t="s">
        <v>11925</v>
      </c>
      <c r="F586" s="91">
        <v>45796</v>
      </c>
      <c r="G586" s="92">
        <v>36537</v>
      </c>
      <c r="H586" s="90" t="s">
        <v>9</v>
      </c>
      <c r="I5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86" s="90" t="s">
        <v>11156</v>
      </c>
    </row>
    <row r="587" spans="1:11">
      <c r="A587" s="90" t="s">
        <v>7284</v>
      </c>
      <c r="B587" s="90" t="s">
        <v>7285</v>
      </c>
      <c r="C587" s="90" t="s">
        <v>8</v>
      </c>
      <c r="D587" s="90" t="str">
        <f>VLOOKUP(Tabela1[[#This Row],[Origem]],'Perguntas 1 a 24'!$J$28:$K$34,2,FALSE)</f>
        <v>Nordeste</v>
      </c>
      <c r="E587" s="90" t="s">
        <v>11926</v>
      </c>
      <c r="F587" s="91">
        <v>45797</v>
      </c>
      <c r="G587" s="92">
        <v>43742</v>
      </c>
      <c r="H587" s="90" t="s">
        <v>14</v>
      </c>
      <c r="I5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87" s="90" t="s">
        <v>7285</v>
      </c>
    </row>
    <row r="588" spans="1:11">
      <c r="A588" s="90" t="s">
        <v>8122</v>
      </c>
      <c r="B588" s="90" t="s">
        <v>8123</v>
      </c>
      <c r="C588" s="90" t="s">
        <v>8</v>
      </c>
      <c r="D588" s="90" t="str">
        <f>VLOOKUP(Tabela1[[#This Row],[Origem]],'Perguntas 1 a 24'!$J$28:$K$34,2,FALSE)</f>
        <v>Nordeste</v>
      </c>
      <c r="E588" s="90" t="s">
        <v>11927</v>
      </c>
      <c r="F588" s="91">
        <v>45797</v>
      </c>
      <c r="G588" s="92">
        <v>104628</v>
      </c>
      <c r="H588" s="90" t="s">
        <v>9</v>
      </c>
      <c r="I5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88" s="90" t="s">
        <v>8123</v>
      </c>
    </row>
    <row r="589" spans="1:11">
      <c r="A589" s="90" t="s">
        <v>8372</v>
      </c>
      <c r="B589" s="90" t="s">
        <v>8373</v>
      </c>
      <c r="C589" s="90" t="s">
        <v>12</v>
      </c>
      <c r="D589" s="90" t="str">
        <f>VLOOKUP(Tabela1[[#This Row],[Origem]],'Perguntas 1 a 24'!$J$28:$K$34,2,FALSE)</f>
        <v>Sudeste</v>
      </c>
      <c r="E589" s="90" t="s">
        <v>11928</v>
      </c>
      <c r="F589" s="91">
        <v>45797</v>
      </c>
      <c r="G589" s="92">
        <v>110354</v>
      </c>
      <c r="H589" s="90" t="s">
        <v>14</v>
      </c>
      <c r="I5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89" s="90" t="s">
        <v>8373</v>
      </c>
    </row>
    <row r="590" spans="1:11">
      <c r="A590" s="90" t="s">
        <v>8384</v>
      </c>
      <c r="B590" s="90" t="s">
        <v>8385</v>
      </c>
      <c r="C590" s="90" t="s">
        <v>8</v>
      </c>
      <c r="D590" s="90" t="str">
        <f>VLOOKUP(Tabela1[[#This Row],[Origem]],'Perguntas 1 a 24'!$J$28:$K$34,2,FALSE)</f>
        <v>Nordeste</v>
      </c>
      <c r="E590" s="90" t="s">
        <v>11929</v>
      </c>
      <c r="F590" s="91">
        <v>45798</v>
      </c>
      <c r="G590" s="92">
        <v>54443</v>
      </c>
      <c r="H590" s="90" t="s">
        <v>11</v>
      </c>
      <c r="I5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0" s="90" t="s">
        <v>8385</v>
      </c>
    </row>
    <row r="591" spans="1:11">
      <c r="A591" s="90" t="s">
        <v>11187</v>
      </c>
      <c r="B591" s="90" t="s">
        <v>11188</v>
      </c>
      <c r="C591" s="90" t="s">
        <v>8</v>
      </c>
      <c r="D591" s="90" t="str">
        <f>VLOOKUP(Tabela1[[#This Row],[Origem]],'Perguntas 1 a 24'!$J$28:$K$34,2,FALSE)</f>
        <v>Nordeste</v>
      </c>
      <c r="E591" s="90" t="s">
        <v>11930</v>
      </c>
      <c r="F591" s="91">
        <v>45799</v>
      </c>
      <c r="G591" s="92">
        <v>99727</v>
      </c>
      <c r="H591" s="90" t="s">
        <v>14</v>
      </c>
      <c r="I5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1" s="90" t="s">
        <v>11188</v>
      </c>
    </row>
    <row r="592" spans="1:11">
      <c r="A592" s="90" t="s">
        <v>7492</v>
      </c>
      <c r="B592" s="90" t="s">
        <v>7493</v>
      </c>
      <c r="C592" s="90" t="s">
        <v>16</v>
      </c>
      <c r="D592" s="90" t="str">
        <f>VLOOKUP(Tabela1[[#This Row],[Origem]],'Perguntas 1 a 24'!$J$28:$K$34,2,FALSE)</f>
        <v>Sudeste</v>
      </c>
      <c r="E592" s="90" t="s">
        <v>11931</v>
      </c>
      <c r="F592" s="91">
        <v>45800</v>
      </c>
      <c r="G592" s="92">
        <v>98887</v>
      </c>
      <c r="H592" s="90" t="s">
        <v>7</v>
      </c>
      <c r="I5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2" s="90" t="s">
        <v>7493</v>
      </c>
    </row>
    <row r="593" spans="1:11">
      <c r="A593" s="90" t="s">
        <v>10187</v>
      </c>
      <c r="B593" s="90" t="s">
        <v>10188</v>
      </c>
      <c r="C593" s="90" t="s">
        <v>8</v>
      </c>
      <c r="D593" s="90" t="str">
        <f>VLOOKUP(Tabela1[[#This Row],[Origem]],'Perguntas 1 a 24'!$J$28:$K$34,2,FALSE)</f>
        <v>Nordeste</v>
      </c>
      <c r="E593" s="90" t="s">
        <v>11932</v>
      </c>
      <c r="F593" s="91">
        <v>45801</v>
      </c>
      <c r="G593" s="92">
        <v>117234</v>
      </c>
      <c r="H593" s="90" t="s">
        <v>14</v>
      </c>
      <c r="I5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3" s="90" t="s">
        <v>10188</v>
      </c>
    </row>
    <row r="594" spans="1:11">
      <c r="A594" s="90" t="s">
        <v>4335</v>
      </c>
      <c r="B594" s="90" t="s">
        <v>4336</v>
      </c>
      <c r="C594" s="90" t="s">
        <v>16</v>
      </c>
      <c r="D594" s="90" t="str">
        <f>VLOOKUP(Tabela1[[#This Row],[Origem]],'Perguntas 1 a 24'!$J$28:$K$34,2,FALSE)</f>
        <v>Sudeste</v>
      </c>
      <c r="E594" s="90" t="s">
        <v>11933</v>
      </c>
      <c r="F594" s="91">
        <v>45802</v>
      </c>
      <c r="G594" s="92">
        <v>79516</v>
      </c>
      <c r="H594" s="90" t="s">
        <v>9</v>
      </c>
      <c r="I5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4" s="90" t="s">
        <v>4336</v>
      </c>
    </row>
    <row r="595" spans="1:11">
      <c r="A595" s="90" t="s">
        <v>4528</v>
      </c>
      <c r="B595" s="90" t="s">
        <v>4529</v>
      </c>
      <c r="C595" s="90" t="s">
        <v>12</v>
      </c>
      <c r="D595" s="90" t="str">
        <f>VLOOKUP(Tabela1[[#This Row],[Origem]],'Perguntas 1 a 24'!$J$28:$K$34,2,FALSE)</f>
        <v>Sudeste</v>
      </c>
      <c r="E595" s="90" t="s">
        <v>11934</v>
      </c>
      <c r="F595" s="91">
        <v>45802</v>
      </c>
      <c r="G595" s="92">
        <v>117169</v>
      </c>
      <c r="H595" s="90" t="s">
        <v>11</v>
      </c>
      <c r="I5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5" s="90" t="s">
        <v>4529</v>
      </c>
    </row>
    <row r="596" spans="1:11">
      <c r="A596" s="90" t="s">
        <v>6734</v>
      </c>
      <c r="B596" s="90" t="s">
        <v>6735</v>
      </c>
      <c r="C596" s="90" t="s">
        <v>15</v>
      </c>
      <c r="D596" s="90" t="str">
        <f>VLOOKUP(Tabela1[[#This Row],[Origem]],'Perguntas 1 a 24'!$J$28:$K$34,2,FALSE)</f>
        <v>Sudeste</v>
      </c>
      <c r="E596" s="90" t="s">
        <v>11935</v>
      </c>
      <c r="F596" s="91">
        <v>45802</v>
      </c>
      <c r="G596" s="92">
        <v>102596</v>
      </c>
      <c r="H596" s="90" t="s">
        <v>9</v>
      </c>
      <c r="I5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6" s="90" t="s">
        <v>6735</v>
      </c>
    </row>
    <row r="597" spans="1:11">
      <c r="A597" s="90" t="s">
        <v>9039</v>
      </c>
      <c r="B597" s="90" t="s">
        <v>9040</v>
      </c>
      <c r="C597" s="90" t="s">
        <v>8</v>
      </c>
      <c r="D597" s="90" t="str">
        <f>VLOOKUP(Tabela1[[#This Row],[Origem]],'Perguntas 1 a 24'!$J$28:$K$34,2,FALSE)</f>
        <v>Nordeste</v>
      </c>
      <c r="E597" s="90" t="s">
        <v>11936</v>
      </c>
      <c r="F597" s="91">
        <v>45802</v>
      </c>
      <c r="G597" s="92">
        <v>106736</v>
      </c>
      <c r="H597" s="90" t="s">
        <v>14</v>
      </c>
      <c r="I5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7" s="90" t="s">
        <v>9040</v>
      </c>
    </row>
    <row r="598" spans="1:11">
      <c r="A598" s="90" t="s">
        <v>5172</v>
      </c>
      <c r="B598" s="90" t="s">
        <v>5173</v>
      </c>
      <c r="C598" s="90" t="s">
        <v>15</v>
      </c>
      <c r="D598" s="90" t="str">
        <f>VLOOKUP(Tabela1[[#This Row],[Origem]],'Perguntas 1 a 24'!$J$28:$K$34,2,FALSE)</f>
        <v>Sudeste</v>
      </c>
      <c r="E598" s="90" t="s">
        <v>11937</v>
      </c>
      <c r="F598" s="91">
        <v>45803</v>
      </c>
      <c r="G598" s="92">
        <v>96164</v>
      </c>
      <c r="H598" s="90" t="s">
        <v>11</v>
      </c>
      <c r="I5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598" s="90" t="s">
        <v>5173</v>
      </c>
    </row>
    <row r="599" spans="1:11">
      <c r="A599" s="90" t="s">
        <v>7420</v>
      </c>
      <c r="B599" s="90" t="s">
        <v>7421</v>
      </c>
      <c r="C599" s="90" t="s">
        <v>15</v>
      </c>
      <c r="D599" s="90" t="str">
        <f>VLOOKUP(Tabela1[[#This Row],[Origem]],'Perguntas 1 a 24'!$J$28:$K$34,2,FALSE)</f>
        <v>Sudeste</v>
      </c>
      <c r="E599" s="90" t="s">
        <v>11938</v>
      </c>
      <c r="F599" s="91">
        <v>45803</v>
      </c>
      <c r="G599" s="92">
        <v>33859</v>
      </c>
      <c r="H599" s="90" t="s">
        <v>7</v>
      </c>
      <c r="I5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599" s="90" t="s">
        <v>7421</v>
      </c>
    </row>
    <row r="600" spans="1:11">
      <c r="A600" s="90" t="s">
        <v>3886</v>
      </c>
      <c r="B600" s="90" t="s">
        <v>3887</v>
      </c>
      <c r="C600" s="90" t="s">
        <v>10</v>
      </c>
      <c r="D600" s="90" t="str">
        <f>VLOOKUP(Tabela1[[#This Row],[Origem]],'Perguntas 1 a 24'!$J$28:$K$34,2,FALSE)</f>
        <v>Centro-Oeste</v>
      </c>
      <c r="E600" s="90" t="s">
        <v>11939</v>
      </c>
      <c r="F600" s="91">
        <v>45804</v>
      </c>
      <c r="G600" s="92">
        <v>66094</v>
      </c>
      <c r="H600" s="90" t="s">
        <v>9</v>
      </c>
      <c r="I6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0" s="90" t="s">
        <v>3887</v>
      </c>
    </row>
    <row r="601" spans="1:11">
      <c r="A601" s="90" t="s">
        <v>10775</v>
      </c>
      <c r="B601" s="90" t="s">
        <v>10776</v>
      </c>
      <c r="C601" s="90" t="s">
        <v>6</v>
      </c>
      <c r="D601" s="90" t="str">
        <f>VLOOKUP(Tabela1[[#This Row],[Origem]],'Perguntas 1 a 24'!$J$28:$K$34,2,FALSE)</f>
        <v>Nordeste</v>
      </c>
      <c r="E601" s="90" t="s">
        <v>11940</v>
      </c>
      <c r="F601" s="91">
        <v>45804</v>
      </c>
      <c r="G601" s="92">
        <v>66602</v>
      </c>
      <c r="H601" s="90" t="s">
        <v>11</v>
      </c>
      <c r="I6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1" s="90" t="s">
        <v>10776</v>
      </c>
    </row>
    <row r="602" spans="1:11">
      <c r="A602" s="90" t="s">
        <v>6550</v>
      </c>
      <c r="B602" s="90" t="s">
        <v>6551</v>
      </c>
      <c r="C602" s="90" t="s">
        <v>16</v>
      </c>
      <c r="D602" s="90" t="str">
        <f>VLOOKUP(Tabela1[[#This Row],[Origem]],'Perguntas 1 a 24'!$J$28:$K$34,2,FALSE)</f>
        <v>Sudeste</v>
      </c>
      <c r="E602" s="90" t="s">
        <v>11941</v>
      </c>
      <c r="F602" s="91">
        <v>45805</v>
      </c>
      <c r="G602" s="92">
        <v>77509</v>
      </c>
      <c r="H602" s="90" t="s">
        <v>11</v>
      </c>
      <c r="I6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2" s="90" t="s">
        <v>6551</v>
      </c>
    </row>
    <row r="603" spans="1:11">
      <c r="A603" s="90" t="s">
        <v>4229</v>
      </c>
      <c r="B603" s="90" t="s">
        <v>4230</v>
      </c>
      <c r="C603" s="90" t="s">
        <v>15</v>
      </c>
      <c r="D603" s="90" t="str">
        <f>VLOOKUP(Tabela1[[#This Row],[Origem]],'Perguntas 1 a 24'!$J$28:$K$34,2,FALSE)</f>
        <v>Sudeste</v>
      </c>
      <c r="E603" s="90" t="s">
        <v>11942</v>
      </c>
      <c r="F603" s="91">
        <v>45806</v>
      </c>
      <c r="G603" s="92">
        <v>86912</v>
      </c>
      <c r="H603" s="90" t="s">
        <v>7</v>
      </c>
      <c r="I6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3" s="90" t="s">
        <v>4230</v>
      </c>
    </row>
    <row r="604" spans="1:11">
      <c r="A604" s="90" t="s">
        <v>10889</v>
      </c>
      <c r="B604" s="90" t="s">
        <v>10890</v>
      </c>
      <c r="C604" s="90" t="s">
        <v>15</v>
      </c>
      <c r="D604" s="90" t="str">
        <f>VLOOKUP(Tabela1[[#This Row],[Origem]],'Perguntas 1 a 24'!$J$28:$K$34,2,FALSE)</f>
        <v>Sudeste</v>
      </c>
      <c r="E604" s="90" t="s">
        <v>11943</v>
      </c>
      <c r="F604" s="91">
        <v>45806</v>
      </c>
      <c r="G604" s="92">
        <v>58043</v>
      </c>
      <c r="H604" s="90" t="s">
        <v>11</v>
      </c>
      <c r="I6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4" s="90" t="s">
        <v>10890</v>
      </c>
    </row>
    <row r="605" spans="1:11">
      <c r="A605" s="90" t="s">
        <v>3910</v>
      </c>
      <c r="B605" s="90" t="s">
        <v>3911</v>
      </c>
      <c r="C605" s="90" t="s">
        <v>13</v>
      </c>
      <c r="D605" s="90" t="str">
        <f>VLOOKUP(Tabela1[[#This Row],[Origem]],'Perguntas 1 a 24'!$J$28:$K$34,2,FALSE)</f>
        <v>Sudeste</v>
      </c>
      <c r="E605" s="90" t="s">
        <v>11944</v>
      </c>
      <c r="F605" s="91">
        <v>45807</v>
      </c>
      <c r="G605" s="92">
        <v>61212</v>
      </c>
      <c r="H605" s="90" t="s">
        <v>11</v>
      </c>
      <c r="I6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5" s="90" t="s">
        <v>3911</v>
      </c>
    </row>
    <row r="606" spans="1:11">
      <c r="A606" s="90" t="s">
        <v>3842</v>
      </c>
      <c r="B606" s="90" t="s">
        <v>3843</v>
      </c>
      <c r="C606" s="90" t="s">
        <v>13</v>
      </c>
      <c r="D606" s="90" t="str">
        <f>VLOOKUP(Tabela1[[#This Row],[Origem]],'Perguntas 1 a 24'!$J$28:$K$34,2,FALSE)</f>
        <v>Sudeste</v>
      </c>
      <c r="E606" s="90" t="s">
        <v>11945</v>
      </c>
      <c r="F606" s="91">
        <v>45808</v>
      </c>
      <c r="G606" s="92">
        <v>73089</v>
      </c>
      <c r="H606" s="90" t="s">
        <v>9</v>
      </c>
      <c r="I6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6" s="90" t="s">
        <v>3843</v>
      </c>
    </row>
    <row r="607" spans="1:11">
      <c r="A607" s="90" t="s">
        <v>4986</v>
      </c>
      <c r="B607" s="90" t="s">
        <v>4987</v>
      </c>
      <c r="C607" s="90" t="s">
        <v>16</v>
      </c>
      <c r="D607" s="90" t="str">
        <f>VLOOKUP(Tabela1[[#This Row],[Origem]],'Perguntas 1 a 24'!$J$28:$K$34,2,FALSE)</f>
        <v>Sudeste</v>
      </c>
      <c r="E607" s="90" t="s">
        <v>11946</v>
      </c>
      <c r="F607" s="91">
        <v>45808</v>
      </c>
      <c r="G607" s="92">
        <v>47201</v>
      </c>
      <c r="H607" s="90" t="s">
        <v>14</v>
      </c>
      <c r="I6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07" s="90" t="s">
        <v>4987</v>
      </c>
    </row>
    <row r="608" spans="1:11">
      <c r="A608" s="90" t="s">
        <v>5474</v>
      </c>
      <c r="B608" s="90" t="s">
        <v>5475</v>
      </c>
      <c r="C608" s="90" t="s">
        <v>10</v>
      </c>
      <c r="D608" s="90" t="str">
        <f>VLOOKUP(Tabela1[[#This Row],[Origem]],'Perguntas 1 a 24'!$J$28:$K$34,2,FALSE)</f>
        <v>Centro-Oeste</v>
      </c>
      <c r="E608" s="90" t="s">
        <v>11947</v>
      </c>
      <c r="F608" s="91">
        <v>45808</v>
      </c>
      <c r="G608" s="92">
        <v>83088</v>
      </c>
      <c r="H608" s="90" t="s">
        <v>7</v>
      </c>
      <c r="I6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8" s="90" t="s">
        <v>5475</v>
      </c>
    </row>
    <row r="609" spans="1:11">
      <c r="A609" s="90" t="s">
        <v>6132</v>
      </c>
      <c r="B609" s="90" t="s">
        <v>6133</v>
      </c>
      <c r="C609" s="90" t="s">
        <v>15</v>
      </c>
      <c r="D609" s="90" t="str">
        <f>VLOOKUP(Tabela1[[#This Row],[Origem]],'Perguntas 1 a 24'!$J$28:$K$34,2,FALSE)</f>
        <v>Sudeste</v>
      </c>
      <c r="E609" s="90" t="s">
        <v>11948</v>
      </c>
      <c r="F609" s="91">
        <v>45808</v>
      </c>
      <c r="G609" s="92">
        <v>93822</v>
      </c>
      <c r="H609" s="90" t="s">
        <v>11</v>
      </c>
      <c r="I6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09" s="90" t="s">
        <v>6133</v>
      </c>
    </row>
    <row r="610" spans="1:11">
      <c r="A610" s="90" t="s">
        <v>9633</v>
      </c>
      <c r="B610" s="90" t="s">
        <v>9634</v>
      </c>
      <c r="C610" s="90" t="s">
        <v>16</v>
      </c>
      <c r="D610" s="90" t="str">
        <f>VLOOKUP(Tabela1[[#This Row],[Origem]],'Perguntas 1 a 24'!$J$28:$K$34,2,FALSE)</f>
        <v>Sudeste</v>
      </c>
      <c r="E610" s="90" t="s">
        <v>11949</v>
      </c>
      <c r="F610" s="91">
        <v>45809</v>
      </c>
      <c r="G610" s="92">
        <v>119593</v>
      </c>
      <c r="H610" s="90" t="s">
        <v>9</v>
      </c>
      <c r="I6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10" s="90" t="s">
        <v>9634</v>
      </c>
    </row>
    <row r="611" spans="1:11">
      <c r="A611" s="90" t="s">
        <v>8390</v>
      </c>
      <c r="B611" s="90" t="s">
        <v>8391</v>
      </c>
      <c r="C611" s="90" t="s">
        <v>6</v>
      </c>
      <c r="D611" s="90" t="str">
        <f>VLOOKUP(Tabela1[[#This Row],[Origem]],'Perguntas 1 a 24'!$J$28:$K$34,2,FALSE)</f>
        <v>Nordeste</v>
      </c>
      <c r="E611" s="90" t="s">
        <v>11950</v>
      </c>
      <c r="F611" s="91">
        <v>45811</v>
      </c>
      <c r="G611" s="92">
        <v>58561</v>
      </c>
      <c r="H611" s="90" t="s">
        <v>7</v>
      </c>
      <c r="I6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11" s="90" t="s">
        <v>8391</v>
      </c>
    </row>
    <row r="612" spans="1:11">
      <c r="A612" s="90" t="s">
        <v>10443</v>
      </c>
      <c r="B612" s="90" t="s">
        <v>10444</v>
      </c>
      <c r="C612" s="90" t="s">
        <v>10</v>
      </c>
      <c r="D612" s="90" t="str">
        <f>VLOOKUP(Tabela1[[#This Row],[Origem]],'Perguntas 1 a 24'!$J$28:$K$34,2,FALSE)</f>
        <v>Centro-Oeste</v>
      </c>
      <c r="E612" s="90" t="s">
        <v>11951</v>
      </c>
      <c r="F612" s="91">
        <v>45811</v>
      </c>
      <c r="G612" s="92">
        <v>104202</v>
      </c>
      <c r="H612" s="90" t="s">
        <v>9</v>
      </c>
      <c r="I6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12" s="90" t="s">
        <v>10444</v>
      </c>
    </row>
    <row r="613" spans="1:11">
      <c r="A613" s="90" t="s">
        <v>6232</v>
      </c>
      <c r="B613" s="90" t="s">
        <v>6233</v>
      </c>
      <c r="C613" s="90" t="s">
        <v>12</v>
      </c>
      <c r="D613" s="90" t="str">
        <f>VLOOKUP(Tabela1[[#This Row],[Origem]],'Perguntas 1 a 24'!$J$28:$K$34,2,FALSE)</f>
        <v>Sudeste</v>
      </c>
      <c r="E613" s="90" t="s">
        <v>11952</v>
      </c>
      <c r="F613" s="91">
        <v>45813</v>
      </c>
      <c r="G613" s="92">
        <v>108981</v>
      </c>
      <c r="H613" s="90" t="s">
        <v>9</v>
      </c>
      <c r="I6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13" s="90" t="s">
        <v>6233</v>
      </c>
    </row>
    <row r="614" spans="1:11">
      <c r="A614" s="90" t="s">
        <v>10147</v>
      </c>
      <c r="B614" s="90" t="s">
        <v>10148</v>
      </c>
      <c r="C614" s="90" t="s">
        <v>13</v>
      </c>
      <c r="D614" s="90" t="str">
        <f>VLOOKUP(Tabela1[[#This Row],[Origem]],'Perguntas 1 a 24'!$J$28:$K$34,2,FALSE)</f>
        <v>Sudeste</v>
      </c>
      <c r="E614" s="90" t="s">
        <v>11953</v>
      </c>
      <c r="F614" s="91">
        <v>45813</v>
      </c>
      <c r="G614" s="92">
        <v>45146</v>
      </c>
      <c r="H614" s="90" t="s">
        <v>14</v>
      </c>
      <c r="I6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14" s="90" t="s">
        <v>10148</v>
      </c>
    </row>
    <row r="615" spans="1:11">
      <c r="A615" s="90" t="s">
        <v>5004</v>
      </c>
      <c r="B615" s="90" t="s">
        <v>5005</v>
      </c>
      <c r="C615" s="90" t="s">
        <v>6</v>
      </c>
      <c r="D615" s="90" t="str">
        <f>VLOOKUP(Tabela1[[#This Row],[Origem]],'Perguntas 1 a 24'!$J$28:$K$34,2,FALSE)</f>
        <v>Nordeste</v>
      </c>
      <c r="E615" s="90" t="s">
        <v>11954</v>
      </c>
      <c r="F615" s="91">
        <v>45815</v>
      </c>
      <c r="G615" s="92">
        <v>61836</v>
      </c>
      <c r="H615" s="90" t="s">
        <v>14</v>
      </c>
      <c r="I6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15" s="90" t="s">
        <v>5005</v>
      </c>
    </row>
    <row r="616" spans="1:11">
      <c r="A616" s="90" t="s">
        <v>5606</v>
      </c>
      <c r="B616" s="90" t="s">
        <v>5607</v>
      </c>
      <c r="C616" s="90" t="s">
        <v>6</v>
      </c>
      <c r="D616" s="90" t="str">
        <f>VLOOKUP(Tabela1[[#This Row],[Origem]],'Perguntas 1 a 24'!$J$28:$K$34,2,FALSE)</f>
        <v>Nordeste</v>
      </c>
      <c r="E616" s="90" t="s">
        <v>11955</v>
      </c>
      <c r="F616" s="91">
        <v>45815</v>
      </c>
      <c r="G616" s="92">
        <v>77227</v>
      </c>
      <c r="H616" s="90" t="s">
        <v>11</v>
      </c>
      <c r="I6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16" s="90" t="s">
        <v>5607</v>
      </c>
    </row>
    <row r="617" spans="1:11">
      <c r="A617" s="90" t="s">
        <v>8212</v>
      </c>
      <c r="B617" s="90" t="s">
        <v>8213</v>
      </c>
      <c r="C617" s="90" t="s">
        <v>10</v>
      </c>
      <c r="D617" s="90" t="str">
        <f>VLOOKUP(Tabela1[[#This Row],[Origem]],'Perguntas 1 a 24'!$J$28:$K$34,2,FALSE)</f>
        <v>Centro-Oeste</v>
      </c>
      <c r="E617" s="90" t="s">
        <v>11956</v>
      </c>
      <c r="F617" s="91">
        <v>45815</v>
      </c>
      <c r="G617" s="92">
        <v>92491</v>
      </c>
      <c r="H617" s="90" t="s">
        <v>14</v>
      </c>
      <c r="I6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17" s="90" t="s">
        <v>8213</v>
      </c>
    </row>
    <row r="618" spans="1:11">
      <c r="A618" s="90" t="s">
        <v>10025</v>
      </c>
      <c r="B618" s="90" t="s">
        <v>10026</v>
      </c>
      <c r="C618" s="90" t="s">
        <v>16</v>
      </c>
      <c r="D618" s="90" t="str">
        <f>VLOOKUP(Tabela1[[#This Row],[Origem]],'Perguntas 1 a 24'!$J$28:$K$34,2,FALSE)</f>
        <v>Sudeste</v>
      </c>
      <c r="E618" s="90" t="s">
        <v>11957</v>
      </c>
      <c r="F618" s="91">
        <v>45815</v>
      </c>
      <c r="G618" s="92">
        <v>22958</v>
      </c>
      <c r="H618" s="90" t="s">
        <v>11</v>
      </c>
      <c r="I6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18" s="90" t="s">
        <v>10026</v>
      </c>
    </row>
    <row r="619" spans="1:11">
      <c r="A619" s="90" t="s">
        <v>10911</v>
      </c>
      <c r="B619" s="90" t="s">
        <v>10912</v>
      </c>
      <c r="C619" s="90" t="s">
        <v>16</v>
      </c>
      <c r="D619" s="90" t="str">
        <f>VLOOKUP(Tabela1[[#This Row],[Origem]],'Perguntas 1 a 24'!$J$28:$K$34,2,FALSE)</f>
        <v>Sudeste</v>
      </c>
      <c r="E619" s="90" t="s">
        <v>11958</v>
      </c>
      <c r="F619" s="91">
        <v>45815</v>
      </c>
      <c r="G619" s="92">
        <v>111415</v>
      </c>
      <c r="H619" s="90" t="s">
        <v>14</v>
      </c>
      <c r="I6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19" s="90" t="s">
        <v>10912</v>
      </c>
    </row>
    <row r="620" spans="1:11">
      <c r="A620" s="90" t="s">
        <v>4754</v>
      </c>
      <c r="B620" s="90" t="s">
        <v>4755</v>
      </c>
      <c r="C620" s="90" t="s">
        <v>6</v>
      </c>
      <c r="D620" s="90" t="str">
        <f>VLOOKUP(Tabela1[[#This Row],[Origem]],'Perguntas 1 a 24'!$J$28:$K$34,2,FALSE)</f>
        <v>Nordeste</v>
      </c>
      <c r="E620" s="90" t="s">
        <v>11959</v>
      </c>
      <c r="F620" s="91">
        <v>45816</v>
      </c>
      <c r="G620" s="92">
        <v>48492</v>
      </c>
      <c r="H620" s="90" t="s">
        <v>9</v>
      </c>
      <c r="I6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20" s="90" t="s">
        <v>4755</v>
      </c>
    </row>
    <row r="621" spans="1:11">
      <c r="A621" s="90" t="s">
        <v>7478</v>
      </c>
      <c r="B621" s="90" t="s">
        <v>7479</v>
      </c>
      <c r="C621" s="90" t="s">
        <v>15</v>
      </c>
      <c r="D621" s="90" t="str">
        <f>VLOOKUP(Tabela1[[#This Row],[Origem]],'Perguntas 1 a 24'!$J$28:$K$34,2,FALSE)</f>
        <v>Sudeste</v>
      </c>
      <c r="E621" s="90" t="s">
        <v>11960</v>
      </c>
      <c r="F621" s="91">
        <v>45816</v>
      </c>
      <c r="G621" s="92">
        <v>82847</v>
      </c>
      <c r="H621" s="90" t="s">
        <v>9</v>
      </c>
      <c r="I6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21" s="90" t="s">
        <v>7479</v>
      </c>
    </row>
    <row r="622" spans="1:11">
      <c r="A622" s="90" t="s">
        <v>5686</v>
      </c>
      <c r="B622" s="90" t="s">
        <v>5687</v>
      </c>
      <c r="C622" s="90" t="s">
        <v>15</v>
      </c>
      <c r="D622" s="90" t="str">
        <f>VLOOKUP(Tabela1[[#This Row],[Origem]],'Perguntas 1 a 24'!$J$28:$K$34,2,FALSE)</f>
        <v>Sudeste</v>
      </c>
      <c r="E622" s="90" t="s">
        <v>11961</v>
      </c>
      <c r="F622" s="91">
        <v>45818</v>
      </c>
      <c r="G622" s="92">
        <v>73248</v>
      </c>
      <c r="H622" s="90" t="s">
        <v>7</v>
      </c>
      <c r="I6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22" s="90" t="s">
        <v>5687</v>
      </c>
    </row>
    <row r="623" spans="1:11">
      <c r="A623" s="90" t="s">
        <v>5816</v>
      </c>
      <c r="B623" s="90" t="s">
        <v>5817</v>
      </c>
      <c r="C623" s="90" t="s">
        <v>15</v>
      </c>
      <c r="D623" s="90" t="str">
        <f>VLOOKUP(Tabela1[[#This Row],[Origem]],'Perguntas 1 a 24'!$J$28:$K$34,2,FALSE)</f>
        <v>Sudeste</v>
      </c>
      <c r="E623" s="90" t="s">
        <v>11962</v>
      </c>
      <c r="F623" s="91">
        <v>45818</v>
      </c>
      <c r="G623" s="92">
        <v>83818</v>
      </c>
      <c r="H623" s="90" t="s">
        <v>7</v>
      </c>
      <c r="I6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23" s="90" t="s">
        <v>5817</v>
      </c>
    </row>
    <row r="624" spans="1:11">
      <c r="A624" s="90" t="s">
        <v>5256</v>
      </c>
      <c r="B624" s="90" t="s">
        <v>5257</v>
      </c>
      <c r="C624" s="90" t="s">
        <v>6</v>
      </c>
      <c r="D624" s="90" t="str">
        <f>VLOOKUP(Tabela1[[#This Row],[Origem]],'Perguntas 1 a 24'!$J$28:$K$34,2,FALSE)</f>
        <v>Nordeste</v>
      </c>
      <c r="E624" s="90" t="s">
        <v>11963</v>
      </c>
      <c r="F624" s="91">
        <v>45819</v>
      </c>
      <c r="G624" s="92">
        <v>30564</v>
      </c>
      <c r="H624" s="90" t="s">
        <v>14</v>
      </c>
      <c r="I6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24" s="90" t="s">
        <v>5257</v>
      </c>
    </row>
    <row r="625" spans="1:11">
      <c r="A625" s="90" t="s">
        <v>9287</v>
      </c>
      <c r="B625" s="90" t="s">
        <v>9288</v>
      </c>
      <c r="C625" s="90" t="s">
        <v>8</v>
      </c>
      <c r="D625" s="90" t="str">
        <f>VLOOKUP(Tabela1[[#This Row],[Origem]],'Perguntas 1 a 24'!$J$28:$K$34,2,FALSE)</f>
        <v>Nordeste</v>
      </c>
      <c r="E625" s="90" t="s">
        <v>11964</v>
      </c>
      <c r="F625" s="91">
        <v>45819</v>
      </c>
      <c r="G625" s="92">
        <v>54585</v>
      </c>
      <c r="H625" s="90" t="s">
        <v>9</v>
      </c>
      <c r="I6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25" s="90" t="s">
        <v>9288</v>
      </c>
    </row>
    <row r="626" spans="1:11">
      <c r="A626" s="90" t="s">
        <v>10729</v>
      </c>
      <c r="B626" s="90" t="s">
        <v>10730</v>
      </c>
      <c r="C626" s="90" t="s">
        <v>8</v>
      </c>
      <c r="D626" s="90" t="str">
        <f>VLOOKUP(Tabela1[[#This Row],[Origem]],'Perguntas 1 a 24'!$J$28:$K$34,2,FALSE)</f>
        <v>Nordeste</v>
      </c>
      <c r="E626" s="90" t="s">
        <v>11965</v>
      </c>
      <c r="F626" s="91">
        <v>45819</v>
      </c>
      <c r="G626" s="92">
        <v>60982</v>
      </c>
      <c r="H626" s="90" t="s">
        <v>7</v>
      </c>
      <c r="I6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26" s="90" t="s">
        <v>10730</v>
      </c>
    </row>
    <row r="627" spans="1:11">
      <c r="A627" s="90" t="s">
        <v>6248</v>
      </c>
      <c r="B627" s="90" t="s">
        <v>6249</v>
      </c>
      <c r="C627" s="90" t="s">
        <v>8</v>
      </c>
      <c r="D627" s="90" t="str">
        <f>VLOOKUP(Tabela1[[#This Row],[Origem]],'Perguntas 1 a 24'!$J$28:$K$34,2,FALSE)</f>
        <v>Nordeste</v>
      </c>
      <c r="E627" s="90" t="s">
        <v>11966</v>
      </c>
      <c r="F627" s="91">
        <v>45822</v>
      </c>
      <c r="G627" s="92">
        <v>48733</v>
      </c>
      <c r="H627" s="90" t="s">
        <v>11</v>
      </c>
      <c r="I6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27" s="90" t="s">
        <v>6249</v>
      </c>
    </row>
    <row r="628" spans="1:11">
      <c r="A628" s="90" t="s">
        <v>9353</v>
      </c>
      <c r="B628" s="90" t="s">
        <v>9354</v>
      </c>
      <c r="C628" s="90" t="s">
        <v>16</v>
      </c>
      <c r="D628" s="90" t="str">
        <f>VLOOKUP(Tabela1[[#This Row],[Origem]],'Perguntas 1 a 24'!$J$28:$K$34,2,FALSE)</f>
        <v>Sudeste</v>
      </c>
      <c r="E628" s="90" t="s">
        <v>11967</v>
      </c>
      <c r="F628" s="91">
        <v>45822</v>
      </c>
      <c r="G628" s="92">
        <v>72219</v>
      </c>
      <c r="H628" s="90" t="s">
        <v>14</v>
      </c>
      <c r="I6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28" s="90" t="s">
        <v>9354</v>
      </c>
    </row>
    <row r="629" spans="1:11">
      <c r="A629" s="90" t="s">
        <v>11056</v>
      </c>
      <c r="B629" s="90" t="s">
        <v>11057</v>
      </c>
      <c r="C629" s="90" t="s">
        <v>10</v>
      </c>
      <c r="D629" s="90" t="str">
        <f>VLOOKUP(Tabela1[[#This Row],[Origem]],'Perguntas 1 a 24'!$J$28:$K$34,2,FALSE)</f>
        <v>Centro-Oeste</v>
      </c>
      <c r="E629" s="90" t="s">
        <v>11968</v>
      </c>
      <c r="F629" s="91">
        <v>45824</v>
      </c>
      <c r="G629" s="92">
        <v>102178</v>
      </c>
      <c r="H629" s="90" t="s">
        <v>11</v>
      </c>
      <c r="I6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29" s="90" t="s">
        <v>11057</v>
      </c>
    </row>
    <row r="630" spans="1:11">
      <c r="A630" s="90" t="s">
        <v>4243</v>
      </c>
      <c r="B630" s="90" t="s">
        <v>4244</v>
      </c>
      <c r="C630" s="90" t="s">
        <v>6</v>
      </c>
      <c r="D630" s="90" t="str">
        <f>VLOOKUP(Tabela1[[#This Row],[Origem]],'Perguntas 1 a 24'!$J$28:$K$34,2,FALSE)</f>
        <v>Nordeste</v>
      </c>
      <c r="E630" s="90" t="s">
        <v>11969</v>
      </c>
      <c r="F630" s="91">
        <v>45826</v>
      </c>
      <c r="G630" s="92">
        <v>28305</v>
      </c>
      <c r="H630" s="90" t="s">
        <v>7</v>
      </c>
      <c r="I6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30" s="90" t="s">
        <v>4244</v>
      </c>
    </row>
    <row r="631" spans="1:11">
      <c r="A631" s="90" t="s">
        <v>5792</v>
      </c>
      <c r="B631" s="90" t="s">
        <v>5793</v>
      </c>
      <c r="C631" s="90" t="s">
        <v>15</v>
      </c>
      <c r="D631" s="90" t="str">
        <f>VLOOKUP(Tabela1[[#This Row],[Origem]],'Perguntas 1 a 24'!$J$28:$K$34,2,FALSE)</f>
        <v>Sudeste</v>
      </c>
      <c r="E631" s="90" t="s">
        <v>11970</v>
      </c>
      <c r="F631" s="91">
        <v>45828</v>
      </c>
      <c r="G631" s="92">
        <v>39162</v>
      </c>
      <c r="H631" s="90" t="s">
        <v>11</v>
      </c>
      <c r="I6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31" s="90" t="s">
        <v>5793</v>
      </c>
    </row>
    <row r="632" spans="1:11">
      <c r="A632" s="90" t="s">
        <v>7994</v>
      </c>
      <c r="B632" s="90" t="s">
        <v>7995</v>
      </c>
      <c r="C632" s="90" t="s">
        <v>13</v>
      </c>
      <c r="D632" s="90" t="str">
        <f>VLOOKUP(Tabela1[[#This Row],[Origem]],'Perguntas 1 a 24'!$J$28:$K$34,2,FALSE)</f>
        <v>Sudeste</v>
      </c>
      <c r="E632" s="90" t="s">
        <v>11971</v>
      </c>
      <c r="F632" s="91">
        <v>45828</v>
      </c>
      <c r="G632" s="92">
        <v>98839</v>
      </c>
      <c r="H632" s="90" t="s">
        <v>9</v>
      </c>
      <c r="I6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32" s="90" t="s">
        <v>7995</v>
      </c>
    </row>
    <row r="633" spans="1:11">
      <c r="A633" s="90" t="s">
        <v>4221</v>
      </c>
      <c r="B633" s="90" t="s">
        <v>4222</v>
      </c>
      <c r="C633" s="90" t="s">
        <v>15</v>
      </c>
      <c r="D633" s="90" t="str">
        <f>VLOOKUP(Tabela1[[#This Row],[Origem]],'Perguntas 1 a 24'!$J$28:$K$34,2,FALSE)</f>
        <v>Sudeste</v>
      </c>
      <c r="E633" s="90" t="s">
        <v>11972</v>
      </c>
      <c r="F633" s="91">
        <v>45829</v>
      </c>
      <c r="G633" s="92">
        <v>90717</v>
      </c>
      <c r="H633" s="90" t="s">
        <v>14</v>
      </c>
      <c r="I6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33" s="90" t="s">
        <v>4222</v>
      </c>
    </row>
    <row r="634" spans="1:11">
      <c r="A634" s="90" t="s">
        <v>4445</v>
      </c>
      <c r="B634" s="90" t="s">
        <v>4446</v>
      </c>
      <c r="C634" s="90" t="s">
        <v>15</v>
      </c>
      <c r="D634" s="90" t="str">
        <f>VLOOKUP(Tabela1[[#This Row],[Origem]],'Perguntas 1 a 24'!$J$28:$K$34,2,FALSE)</f>
        <v>Sudeste</v>
      </c>
      <c r="E634" s="90" t="s">
        <v>11973</v>
      </c>
      <c r="F634" s="91">
        <v>45830</v>
      </c>
      <c r="G634" s="92">
        <v>43429</v>
      </c>
      <c r="H634" s="90" t="s">
        <v>14</v>
      </c>
      <c r="I6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34" s="90" t="s">
        <v>4446</v>
      </c>
    </row>
    <row r="635" spans="1:11">
      <c r="A635" s="90" t="s">
        <v>7334</v>
      </c>
      <c r="B635" s="90" t="s">
        <v>7335</v>
      </c>
      <c r="C635" s="90" t="s">
        <v>13</v>
      </c>
      <c r="D635" s="90" t="str">
        <f>VLOOKUP(Tabela1[[#This Row],[Origem]],'Perguntas 1 a 24'!$J$28:$K$34,2,FALSE)</f>
        <v>Sudeste</v>
      </c>
      <c r="E635" s="90" t="s">
        <v>11974</v>
      </c>
      <c r="F635" s="91">
        <v>45830</v>
      </c>
      <c r="G635" s="92">
        <v>91229</v>
      </c>
      <c r="H635" s="90" t="s">
        <v>7</v>
      </c>
      <c r="I6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35" s="90" t="s">
        <v>7335</v>
      </c>
    </row>
    <row r="636" spans="1:11">
      <c r="A636" s="90" t="s">
        <v>7798</v>
      </c>
      <c r="B636" s="90" t="s">
        <v>7799</v>
      </c>
      <c r="C636" s="90" t="s">
        <v>13</v>
      </c>
      <c r="D636" s="90" t="str">
        <f>VLOOKUP(Tabela1[[#This Row],[Origem]],'Perguntas 1 a 24'!$J$28:$K$34,2,FALSE)</f>
        <v>Sudeste</v>
      </c>
      <c r="E636" s="90" t="s">
        <v>11975</v>
      </c>
      <c r="F636" s="91">
        <v>45830</v>
      </c>
      <c r="G636" s="92">
        <v>61948</v>
      </c>
      <c r="H636" s="90" t="s">
        <v>7</v>
      </c>
      <c r="I6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36" s="90" t="s">
        <v>7799</v>
      </c>
    </row>
    <row r="637" spans="1:11">
      <c r="A637" s="90" t="s">
        <v>4934</v>
      </c>
      <c r="B637" s="90" t="s">
        <v>4935</v>
      </c>
      <c r="C637" s="90" t="s">
        <v>10</v>
      </c>
      <c r="D637" s="90" t="str">
        <f>VLOOKUP(Tabela1[[#This Row],[Origem]],'Perguntas 1 a 24'!$J$28:$K$34,2,FALSE)</f>
        <v>Centro-Oeste</v>
      </c>
      <c r="E637" s="90" t="s">
        <v>11976</v>
      </c>
      <c r="F637" s="91">
        <v>45831</v>
      </c>
      <c r="G637" s="92">
        <v>103775</v>
      </c>
      <c r="H637" s="90" t="s">
        <v>9</v>
      </c>
      <c r="I6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37" s="90" t="s">
        <v>4935</v>
      </c>
    </row>
    <row r="638" spans="1:11">
      <c r="A638" s="90" t="s">
        <v>7176</v>
      </c>
      <c r="B638" s="90" t="s">
        <v>7177</v>
      </c>
      <c r="C638" s="90" t="s">
        <v>6</v>
      </c>
      <c r="D638" s="90" t="str">
        <f>VLOOKUP(Tabela1[[#This Row],[Origem]],'Perguntas 1 a 24'!$J$28:$K$34,2,FALSE)</f>
        <v>Nordeste</v>
      </c>
      <c r="E638" s="90" t="s">
        <v>11977</v>
      </c>
      <c r="F638" s="91">
        <v>45831</v>
      </c>
      <c r="G638" s="92">
        <v>74582</v>
      </c>
      <c r="H638" s="90" t="s">
        <v>11</v>
      </c>
      <c r="I6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38" s="90" t="s">
        <v>7177</v>
      </c>
    </row>
    <row r="639" spans="1:11">
      <c r="A639" s="90" t="s">
        <v>6896</v>
      </c>
      <c r="B639" s="90" t="s">
        <v>6897</v>
      </c>
      <c r="C639" s="90" t="s">
        <v>8</v>
      </c>
      <c r="D639" s="90" t="str">
        <f>VLOOKUP(Tabela1[[#This Row],[Origem]],'Perguntas 1 a 24'!$J$28:$K$34,2,FALSE)</f>
        <v>Nordeste</v>
      </c>
      <c r="E639" s="90" t="s">
        <v>11978</v>
      </c>
      <c r="F639" s="91">
        <v>45833</v>
      </c>
      <c r="G639" s="92">
        <v>91300</v>
      </c>
      <c r="H639" s="90" t="s">
        <v>11</v>
      </c>
      <c r="I6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39" s="90" t="s">
        <v>6897</v>
      </c>
    </row>
    <row r="640" spans="1:11">
      <c r="A640" s="90" t="s">
        <v>10143</v>
      </c>
      <c r="B640" s="90" t="s">
        <v>10144</v>
      </c>
      <c r="C640" s="90" t="s">
        <v>8</v>
      </c>
      <c r="D640" s="90" t="str">
        <f>VLOOKUP(Tabela1[[#This Row],[Origem]],'Perguntas 1 a 24'!$J$28:$K$34,2,FALSE)</f>
        <v>Nordeste</v>
      </c>
      <c r="E640" s="90" t="s">
        <v>11979</v>
      </c>
      <c r="F640" s="91">
        <v>45833</v>
      </c>
      <c r="G640" s="92">
        <v>72584</v>
      </c>
      <c r="H640" s="90" t="s">
        <v>7</v>
      </c>
      <c r="I6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40" s="90" t="s">
        <v>10144</v>
      </c>
    </row>
    <row r="641" spans="1:11">
      <c r="A641" s="90" t="s">
        <v>3998</v>
      </c>
      <c r="B641" s="90" t="s">
        <v>3999</v>
      </c>
      <c r="C641" s="90" t="s">
        <v>13</v>
      </c>
      <c r="D641" s="90" t="str">
        <f>VLOOKUP(Tabela1[[#This Row],[Origem]],'Perguntas 1 a 24'!$J$28:$K$34,2,FALSE)</f>
        <v>Sudeste</v>
      </c>
      <c r="E641" s="90" t="s">
        <v>11980</v>
      </c>
      <c r="F641" s="91">
        <v>45835</v>
      </c>
      <c r="G641" s="92">
        <v>21108</v>
      </c>
      <c r="H641" s="90" t="s">
        <v>7</v>
      </c>
      <c r="I6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41" s="90" t="s">
        <v>3999</v>
      </c>
    </row>
    <row r="642" spans="1:11">
      <c r="A642" s="90" t="s">
        <v>4638</v>
      </c>
      <c r="B642" s="90" t="s">
        <v>4639</v>
      </c>
      <c r="C642" s="90" t="s">
        <v>8</v>
      </c>
      <c r="D642" s="90" t="str">
        <f>VLOOKUP(Tabela1[[#This Row],[Origem]],'Perguntas 1 a 24'!$J$28:$K$34,2,FALSE)</f>
        <v>Nordeste</v>
      </c>
      <c r="E642" s="90" t="s">
        <v>11981</v>
      </c>
      <c r="F642" s="91">
        <v>45835</v>
      </c>
      <c r="G642" s="92">
        <v>84815</v>
      </c>
      <c r="H642" s="90" t="s">
        <v>14</v>
      </c>
      <c r="I6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42" s="90" t="s">
        <v>4639</v>
      </c>
    </row>
    <row r="643" spans="1:11">
      <c r="A643" s="90" t="s">
        <v>10609</v>
      </c>
      <c r="B643" s="90" t="s">
        <v>10610</v>
      </c>
      <c r="C643" s="90" t="s">
        <v>12</v>
      </c>
      <c r="D643" s="90" t="str">
        <f>VLOOKUP(Tabela1[[#This Row],[Origem]],'Perguntas 1 a 24'!$J$28:$K$34,2,FALSE)</f>
        <v>Sudeste</v>
      </c>
      <c r="E643" s="90" t="s">
        <v>11982</v>
      </c>
      <c r="F643" s="91">
        <v>45835</v>
      </c>
      <c r="G643" s="92">
        <v>59275</v>
      </c>
      <c r="H643" s="90" t="s">
        <v>7</v>
      </c>
      <c r="I6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43" s="90" t="s">
        <v>10610</v>
      </c>
    </row>
    <row r="644" spans="1:11">
      <c r="A644" s="90" t="s">
        <v>6440</v>
      </c>
      <c r="B644" s="90" t="s">
        <v>6441</v>
      </c>
      <c r="C644" s="90" t="s">
        <v>12</v>
      </c>
      <c r="D644" s="90" t="str">
        <f>VLOOKUP(Tabela1[[#This Row],[Origem]],'Perguntas 1 a 24'!$J$28:$K$34,2,FALSE)</f>
        <v>Sudeste</v>
      </c>
      <c r="E644" s="90" t="s">
        <v>11983</v>
      </c>
      <c r="F644" s="91">
        <v>45837</v>
      </c>
      <c r="G644" s="92">
        <v>114466</v>
      </c>
      <c r="H644" s="90" t="s">
        <v>9</v>
      </c>
      <c r="I6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44" s="90" t="s">
        <v>6441</v>
      </c>
    </row>
    <row r="645" spans="1:11">
      <c r="A645" s="90" t="s">
        <v>7374</v>
      </c>
      <c r="B645" s="90" t="s">
        <v>7375</v>
      </c>
      <c r="C645" s="90" t="s">
        <v>16</v>
      </c>
      <c r="D645" s="90" t="str">
        <f>VLOOKUP(Tabela1[[#This Row],[Origem]],'Perguntas 1 a 24'!$J$28:$K$34,2,FALSE)</f>
        <v>Sudeste</v>
      </c>
      <c r="E645" s="90" t="s">
        <v>11984</v>
      </c>
      <c r="F645" s="91">
        <v>45837</v>
      </c>
      <c r="G645" s="92">
        <v>21131</v>
      </c>
      <c r="H645" s="90" t="s">
        <v>14</v>
      </c>
      <c r="I6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45" s="90" t="s">
        <v>7375</v>
      </c>
    </row>
    <row r="646" spans="1:11">
      <c r="A646" s="90" t="s">
        <v>10875</v>
      </c>
      <c r="B646" s="90" t="s">
        <v>10876</v>
      </c>
      <c r="C646" s="90" t="s">
        <v>8</v>
      </c>
      <c r="D646" s="90" t="str">
        <f>VLOOKUP(Tabela1[[#This Row],[Origem]],'Perguntas 1 a 24'!$J$28:$K$34,2,FALSE)</f>
        <v>Nordeste</v>
      </c>
      <c r="E646" s="90" t="s">
        <v>11985</v>
      </c>
      <c r="F646" s="91">
        <v>45837</v>
      </c>
      <c r="G646" s="92">
        <v>79774</v>
      </c>
      <c r="H646" s="90" t="s">
        <v>11</v>
      </c>
      <c r="I6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46" s="90" t="s">
        <v>10876</v>
      </c>
    </row>
    <row r="647" spans="1:11">
      <c r="A647" s="90" t="s">
        <v>4124</v>
      </c>
      <c r="B647" s="90" t="s">
        <v>4125</v>
      </c>
      <c r="C647" s="90" t="s">
        <v>12</v>
      </c>
      <c r="D647" s="90" t="str">
        <f>VLOOKUP(Tabela1[[#This Row],[Origem]],'Perguntas 1 a 24'!$J$28:$K$34,2,FALSE)</f>
        <v>Sudeste</v>
      </c>
      <c r="E647" s="90" t="s">
        <v>11986</v>
      </c>
      <c r="F647" s="91">
        <v>45838</v>
      </c>
      <c r="G647" s="92">
        <v>40007</v>
      </c>
      <c r="H647" s="90" t="s">
        <v>11</v>
      </c>
      <c r="I6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47" s="90" t="s">
        <v>4125</v>
      </c>
    </row>
    <row r="648" spans="1:11">
      <c r="A648" s="90" t="s">
        <v>3804</v>
      </c>
      <c r="B648" s="90" t="s">
        <v>3805</v>
      </c>
      <c r="C648" s="90" t="s">
        <v>12</v>
      </c>
      <c r="D648" s="90" t="str">
        <f>VLOOKUP(Tabela1[[#This Row],[Origem]],'Perguntas 1 a 24'!$J$28:$K$34,2,FALSE)</f>
        <v>Sudeste</v>
      </c>
      <c r="E648" s="90" t="s">
        <v>11987</v>
      </c>
      <c r="F648" s="91">
        <v>45839</v>
      </c>
      <c r="G648" s="92">
        <v>22926</v>
      </c>
      <c r="H648" s="90" t="s">
        <v>7</v>
      </c>
      <c r="I6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48" s="90" t="s">
        <v>3805</v>
      </c>
    </row>
    <row r="649" spans="1:11">
      <c r="A649" s="90" t="s">
        <v>8913</v>
      </c>
      <c r="B649" s="90" t="s">
        <v>8914</v>
      </c>
      <c r="C649" s="90" t="s">
        <v>6</v>
      </c>
      <c r="D649" s="90" t="str">
        <f>VLOOKUP(Tabela1[[#This Row],[Origem]],'Perguntas 1 a 24'!$J$28:$K$34,2,FALSE)</f>
        <v>Nordeste</v>
      </c>
      <c r="E649" s="90" t="s">
        <v>11988</v>
      </c>
      <c r="F649" s="91">
        <v>45839</v>
      </c>
      <c r="G649" s="92">
        <v>48571</v>
      </c>
      <c r="H649" s="90" t="s">
        <v>14</v>
      </c>
      <c r="I6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49" s="90" t="s">
        <v>8914</v>
      </c>
    </row>
    <row r="650" spans="1:11">
      <c r="A650" s="90" t="s">
        <v>3778</v>
      </c>
      <c r="B650" s="90" t="s">
        <v>3779</v>
      </c>
      <c r="C650" s="90" t="s">
        <v>15</v>
      </c>
      <c r="D650" s="90" t="str">
        <f>VLOOKUP(Tabela1[[#This Row],[Origem]],'Perguntas 1 a 24'!$J$28:$K$34,2,FALSE)</f>
        <v>Sudeste</v>
      </c>
      <c r="E650" s="90" t="s">
        <v>11989</v>
      </c>
      <c r="F650" s="91">
        <v>45840</v>
      </c>
      <c r="G650" s="92">
        <v>94598</v>
      </c>
      <c r="H650" s="90" t="s">
        <v>9</v>
      </c>
      <c r="I6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50" s="90" t="s">
        <v>3779</v>
      </c>
    </row>
    <row r="651" spans="1:11">
      <c r="A651" s="90" t="s">
        <v>5314</v>
      </c>
      <c r="B651" s="90" t="s">
        <v>5315</v>
      </c>
      <c r="C651" s="90" t="s">
        <v>8</v>
      </c>
      <c r="D651" s="90" t="str">
        <f>VLOOKUP(Tabela1[[#This Row],[Origem]],'Perguntas 1 a 24'!$J$28:$K$34,2,FALSE)</f>
        <v>Nordeste</v>
      </c>
      <c r="E651" s="90" t="s">
        <v>11990</v>
      </c>
      <c r="F651" s="91">
        <v>45840</v>
      </c>
      <c r="G651" s="92">
        <v>26276</v>
      </c>
      <c r="H651" s="90" t="s">
        <v>7</v>
      </c>
      <c r="I6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51" s="90" t="s">
        <v>5315</v>
      </c>
    </row>
    <row r="652" spans="1:11">
      <c r="A652" s="90" t="s">
        <v>11321</v>
      </c>
      <c r="B652" s="90" t="s">
        <v>11322</v>
      </c>
      <c r="C652" s="90" t="s">
        <v>6</v>
      </c>
      <c r="D652" s="90" t="str">
        <f>VLOOKUP(Tabela1[[#This Row],[Origem]],'Perguntas 1 a 24'!$J$28:$K$34,2,FALSE)</f>
        <v>Nordeste</v>
      </c>
      <c r="E652" s="90" t="s">
        <v>11991</v>
      </c>
      <c r="F652" s="91">
        <v>45841</v>
      </c>
      <c r="G652" s="92">
        <v>82620</v>
      </c>
      <c r="H652" s="90" t="s">
        <v>14</v>
      </c>
      <c r="I6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52" s="90" t="s">
        <v>11322</v>
      </c>
    </row>
    <row r="653" spans="1:11">
      <c r="A653" s="90" t="s">
        <v>8825</v>
      </c>
      <c r="B653" s="90" t="s">
        <v>8826</v>
      </c>
      <c r="C653" s="90" t="s">
        <v>13</v>
      </c>
      <c r="D653" s="90" t="str">
        <f>VLOOKUP(Tabela1[[#This Row],[Origem]],'Perguntas 1 a 24'!$J$28:$K$34,2,FALSE)</f>
        <v>Sudeste</v>
      </c>
      <c r="E653" s="90" t="s">
        <v>11992</v>
      </c>
      <c r="F653" s="91">
        <v>45842</v>
      </c>
      <c r="G653" s="92">
        <v>52296</v>
      </c>
      <c r="H653" s="90" t="s">
        <v>9</v>
      </c>
      <c r="I6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53" s="90" t="s">
        <v>8826</v>
      </c>
    </row>
    <row r="654" spans="1:11">
      <c r="A654" s="90" t="s">
        <v>10099</v>
      </c>
      <c r="B654" s="90" t="s">
        <v>10100</v>
      </c>
      <c r="C654" s="90" t="s">
        <v>12</v>
      </c>
      <c r="D654" s="90" t="str">
        <f>VLOOKUP(Tabela1[[#This Row],[Origem]],'Perguntas 1 a 24'!$J$28:$K$34,2,FALSE)</f>
        <v>Sudeste</v>
      </c>
      <c r="E654" s="90" t="s">
        <v>11993</v>
      </c>
      <c r="F654" s="91">
        <v>45842</v>
      </c>
      <c r="G654" s="92">
        <v>22798</v>
      </c>
      <c r="H654" s="90" t="s">
        <v>7</v>
      </c>
      <c r="I6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54" s="90" t="s">
        <v>10100</v>
      </c>
    </row>
    <row r="655" spans="1:11">
      <c r="A655" s="90" t="s">
        <v>4427</v>
      </c>
      <c r="B655" s="90" t="s">
        <v>4428</v>
      </c>
      <c r="C655" s="90" t="s">
        <v>15</v>
      </c>
      <c r="D655" s="90" t="str">
        <f>VLOOKUP(Tabela1[[#This Row],[Origem]],'Perguntas 1 a 24'!$J$28:$K$34,2,FALSE)</f>
        <v>Sudeste</v>
      </c>
      <c r="E655" s="90" t="s">
        <v>11994</v>
      </c>
      <c r="F655" s="91">
        <v>45843</v>
      </c>
      <c r="G655" s="92">
        <v>31950</v>
      </c>
      <c r="H655" s="90" t="s">
        <v>7</v>
      </c>
      <c r="I6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55" s="90" t="s">
        <v>4428</v>
      </c>
    </row>
    <row r="656" spans="1:11">
      <c r="A656" s="90" t="s">
        <v>10969</v>
      </c>
      <c r="B656" s="90" t="s">
        <v>10970</v>
      </c>
      <c r="C656" s="90" t="s">
        <v>13</v>
      </c>
      <c r="D656" s="90" t="str">
        <f>VLOOKUP(Tabela1[[#This Row],[Origem]],'Perguntas 1 a 24'!$J$28:$K$34,2,FALSE)</f>
        <v>Sudeste</v>
      </c>
      <c r="E656" s="90" t="s">
        <v>11995</v>
      </c>
      <c r="F656" s="91">
        <v>45843</v>
      </c>
      <c r="G656" s="92">
        <v>107846</v>
      </c>
      <c r="H656" s="90" t="s">
        <v>14</v>
      </c>
      <c r="I6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56" s="90" t="s">
        <v>10970</v>
      </c>
    </row>
    <row r="657" spans="1:11">
      <c r="A657" s="90" t="s">
        <v>11333</v>
      </c>
      <c r="B657" s="90" t="s">
        <v>11334</v>
      </c>
      <c r="C657" s="90" t="s">
        <v>8</v>
      </c>
      <c r="D657" s="90" t="str">
        <f>VLOOKUP(Tabela1[[#This Row],[Origem]],'Perguntas 1 a 24'!$J$28:$K$34,2,FALSE)</f>
        <v>Nordeste</v>
      </c>
      <c r="E657" s="90" t="s">
        <v>11996</v>
      </c>
      <c r="F657" s="91">
        <v>45843</v>
      </c>
      <c r="G657" s="92">
        <v>73895</v>
      </c>
      <c r="H657" s="90" t="s">
        <v>11</v>
      </c>
      <c r="I6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57" s="90" t="s">
        <v>11334</v>
      </c>
    </row>
    <row r="658" spans="1:11">
      <c r="A658" s="90" t="s">
        <v>7400</v>
      </c>
      <c r="B658" s="90" t="s">
        <v>7401</v>
      </c>
      <c r="C658" s="90" t="s">
        <v>8</v>
      </c>
      <c r="D658" s="90" t="str">
        <f>VLOOKUP(Tabela1[[#This Row],[Origem]],'Perguntas 1 a 24'!$J$28:$K$34,2,FALSE)</f>
        <v>Nordeste</v>
      </c>
      <c r="E658" s="90" t="s">
        <v>11997</v>
      </c>
      <c r="F658" s="91">
        <v>45844</v>
      </c>
      <c r="G658" s="92">
        <v>38769</v>
      </c>
      <c r="H658" s="90" t="s">
        <v>14</v>
      </c>
      <c r="I6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58" s="90" t="s">
        <v>7401</v>
      </c>
    </row>
    <row r="659" spans="1:11">
      <c r="A659" s="90" t="s">
        <v>4273</v>
      </c>
      <c r="B659" s="90" t="s">
        <v>4274</v>
      </c>
      <c r="C659" s="90" t="s">
        <v>13</v>
      </c>
      <c r="D659" s="90" t="str">
        <f>VLOOKUP(Tabela1[[#This Row],[Origem]],'Perguntas 1 a 24'!$J$28:$K$34,2,FALSE)</f>
        <v>Sudeste</v>
      </c>
      <c r="E659" s="90" t="s">
        <v>11998</v>
      </c>
      <c r="F659" s="91">
        <v>45845</v>
      </c>
      <c r="G659" s="92">
        <v>81013</v>
      </c>
      <c r="H659" s="90" t="s">
        <v>11</v>
      </c>
      <c r="I6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59" s="90" t="s">
        <v>4274</v>
      </c>
    </row>
    <row r="660" spans="1:11">
      <c r="A660" s="90" t="s">
        <v>4752</v>
      </c>
      <c r="B660" s="90" t="s">
        <v>4753</v>
      </c>
      <c r="C660" s="90" t="s">
        <v>16</v>
      </c>
      <c r="D660" s="90" t="str">
        <f>VLOOKUP(Tabela1[[#This Row],[Origem]],'Perguntas 1 a 24'!$J$28:$K$34,2,FALSE)</f>
        <v>Sudeste</v>
      </c>
      <c r="E660" s="90" t="s">
        <v>11999</v>
      </c>
      <c r="F660" s="91">
        <v>45845</v>
      </c>
      <c r="G660" s="92">
        <v>73750</v>
      </c>
      <c r="H660" s="90" t="s">
        <v>14</v>
      </c>
      <c r="I6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0" s="90" t="s">
        <v>4753</v>
      </c>
    </row>
    <row r="661" spans="1:11">
      <c r="A661" s="90" t="s">
        <v>9095</v>
      </c>
      <c r="B661" s="90" t="s">
        <v>9096</v>
      </c>
      <c r="C661" s="90" t="s">
        <v>10</v>
      </c>
      <c r="D661" s="90" t="str">
        <f>VLOOKUP(Tabela1[[#This Row],[Origem]],'Perguntas 1 a 24'!$J$28:$K$34,2,FALSE)</f>
        <v>Centro-Oeste</v>
      </c>
      <c r="E661" s="90" t="s">
        <v>12000</v>
      </c>
      <c r="F661" s="91">
        <v>45845</v>
      </c>
      <c r="G661" s="92">
        <v>29957</v>
      </c>
      <c r="H661" s="90" t="s">
        <v>7</v>
      </c>
      <c r="I6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61" s="90" t="s">
        <v>9096</v>
      </c>
    </row>
    <row r="662" spans="1:11">
      <c r="A662" s="90" t="s">
        <v>9479</v>
      </c>
      <c r="B662" s="90" t="s">
        <v>9480</v>
      </c>
      <c r="C662" s="90" t="s">
        <v>13</v>
      </c>
      <c r="D662" s="90" t="str">
        <f>VLOOKUP(Tabela1[[#This Row],[Origem]],'Perguntas 1 a 24'!$J$28:$K$34,2,FALSE)</f>
        <v>Sudeste</v>
      </c>
      <c r="E662" s="90" t="s">
        <v>12001</v>
      </c>
      <c r="F662" s="91">
        <v>45845</v>
      </c>
      <c r="G662" s="92">
        <v>113346</v>
      </c>
      <c r="H662" s="90" t="s">
        <v>14</v>
      </c>
      <c r="I6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2" s="90" t="s">
        <v>9480</v>
      </c>
    </row>
    <row r="663" spans="1:11">
      <c r="A663" s="90" t="s">
        <v>10327</v>
      </c>
      <c r="B663" s="90" t="s">
        <v>10328</v>
      </c>
      <c r="C663" s="90" t="s">
        <v>16</v>
      </c>
      <c r="D663" s="90" t="str">
        <f>VLOOKUP(Tabela1[[#This Row],[Origem]],'Perguntas 1 a 24'!$J$28:$K$34,2,FALSE)</f>
        <v>Sudeste</v>
      </c>
      <c r="E663" s="90" t="s">
        <v>12002</v>
      </c>
      <c r="F663" s="91">
        <v>45845</v>
      </c>
      <c r="G663" s="92">
        <v>87954</v>
      </c>
      <c r="H663" s="90" t="s">
        <v>14</v>
      </c>
      <c r="I6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3" s="90" t="s">
        <v>10328</v>
      </c>
    </row>
    <row r="664" spans="1:11">
      <c r="A664" s="90" t="s">
        <v>5288</v>
      </c>
      <c r="B664" s="90" t="s">
        <v>5289</v>
      </c>
      <c r="C664" s="90" t="s">
        <v>10</v>
      </c>
      <c r="D664" s="90" t="str">
        <f>VLOOKUP(Tabela1[[#This Row],[Origem]],'Perguntas 1 a 24'!$J$28:$K$34,2,FALSE)</f>
        <v>Centro-Oeste</v>
      </c>
      <c r="E664" s="90" t="s">
        <v>12003</v>
      </c>
      <c r="F664" s="91">
        <v>45846</v>
      </c>
      <c r="G664" s="92">
        <v>55408</v>
      </c>
      <c r="H664" s="90" t="s">
        <v>14</v>
      </c>
      <c r="I6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4" s="90" t="s">
        <v>5289</v>
      </c>
    </row>
    <row r="665" spans="1:11">
      <c r="A665" s="90" t="s">
        <v>7266</v>
      </c>
      <c r="B665" s="90" t="s">
        <v>7267</v>
      </c>
      <c r="C665" s="90" t="s">
        <v>10</v>
      </c>
      <c r="D665" s="90" t="str">
        <f>VLOOKUP(Tabela1[[#This Row],[Origem]],'Perguntas 1 a 24'!$J$28:$K$34,2,FALSE)</f>
        <v>Centro-Oeste</v>
      </c>
      <c r="E665" s="90" t="s">
        <v>12004</v>
      </c>
      <c r="F665" s="91">
        <v>45846</v>
      </c>
      <c r="G665" s="92">
        <v>108990</v>
      </c>
      <c r="H665" s="90" t="s">
        <v>14</v>
      </c>
      <c r="I6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5" s="90" t="s">
        <v>7267</v>
      </c>
    </row>
    <row r="666" spans="1:11">
      <c r="A666" s="90" t="s">
        <v>4950</v>
      </c>
      <c r="B666" s="90" t="s">
        <v>4951</v>
      </c>
      <c r="C666" s="90" t="s">
        <v>6</v>
      </c>
      <c r="D666" s="90" t="str">
        <f>VLOOKUP(Tabela1[[#This Row],[Origem]],'Perguntas 1 a 24'!$J$28:$K$34,2,FALSE)</f>
        <v>Nordeste</v>
      </c>
      <c r="E666" s="90" t="s">
        <v>12005</v>
      </c>
      <c r="F666" s="91">
        <v>45847</v>
      </c>
      <c r="G666" s="92">
        <v>29070</v>
      </c>
      <c r="H666" s="90" t="s">
        <v>7</v>
      </c>
      <c r="I6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66" s="90" t="s">
        <v>4951</v>
      </c>
    </row>
    <row r="667" spans="1:11">
      <c r="A667" s="90" t="s">
        <v>9443</v>
      </c>
      <c r="B667" s="90" t="s">
        <v>9444</v>
      </c>
      <c r="C667" s="90" t="s">
        <v>13</v>
      </c>
      <c r="D667" s="90" t="str">
        <f>VLOOKUP(Tabela1[[#This Row],[Origem]],'Perguntas 1 a 24'!$J$28:$K$34,2,FALSE)</f>
        <v>Sudeste</v>
      </c>
      <c r="E667" s="90" t="s">
        <v>12006</v>
      </c>
      <c r="F667" s="91">
        <v>45847</v>
      </c>
      <c r="G667" s="92">
        <v>64743</v>
      </c>
      <c r="H667" s="90" t="s">
        <v>7</v>
      </c>
      <c r="I6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7" s="90" t="s">
        <v>9444</v>
      </c>
    </row>
    <row r="668" spans="1:11">
      <c r="A668" s="90" t="s">
        <v>4926</v>
      </c>
      <c r="B668" s="90" t="s">
        <v>4927</v>
      </c>
      <c r="C668" s="90" t="s">
        <v>13</v>
      </c>
      <c r="D668" s="90" t="str">
        <f>VLOOKUP(Tabela1[[#This Row],[Origem]],'Perguntas 1 a 24'!$J$28:$K$34,2,FALSE)</f>
        <v>Sudeste</v>
      </c>
      <c r="E668" s="90" t="s">
        <v>12007</v>
      </c>
      <c r="F668" s="91">
        <v>45848</v>
      </c>
      <c r="G668" s="92">
        <v>92009</v>
      </c>
      <c r="H668" s="90" t="s">
        <v>11</v>
      </c>
      <c r="I6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8" s="90" t="s">
        <v>4927</v>
      </c>
    </row>
    <row r="669" spans="1:11">
      <c r="A669" s="90" t="s">
        <v>4812</v>
      </c>
      <c r="B669" s="90" t="s">
        <v>4813</v>
      </c>
      <c r="C669" s="90" t="s">
        <v>8</v>
      </c>
      <c r="D669" s="90" t="str">
        <f>VLOOKUP(Tabela1[[#This Row],[Origem]],'Perguntas 1 a 24'!$J$28:$K$34,2,FALSE)</f>
        <v>Nordeste</v>
      </c>
      <c r="E669" s="90" t="s">
        <v>12008</v>
      </c>
      <c r="F669" s="91">
        <v>45849</v>
      </c>
      <c r="G669" s="92">
        <v>79881</v>
      </c>
      <c r="H669" s="90" t="s">
        <v>9</v>
      </c>
      <c r="I6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69" s="90" t="s">
        <v>4813</v>
      </c>
    </row>
    <row r="670" spans="1:11">
      <c r="A670" s="90" t="s">
        <v>7452</v>
      </c>
      <c r="B670" s="90" t="s">
        <v>7453</v>
      </c>
      <c r="C670" s="90" t="s">
        <v>13</v>
      </c>
      <c r="D670" s="90" t="str">
        <f>VLOOKUP(Tabela1[[#This Row],[Origem]],'Perguntas 1 a 24'!$J$28:$K$34,2,FALSE)</f>
        <v>Sudeste</v>
      </c>
      <c r="E670" s="90" t="s">
        <v>12009</v>
      </c>
      <c r="F670" s="91">
        <v>45849</v>
      </c>
      <c r="G670" s="92">
        <v>85862</v>
      </c>
      <c r="H670" s="90" t="s">
        <v>14</v>
      </c>
      <c r="I6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0" s="90" t="s">
        <v>7453</v>
      </c>
    </row>
    <row r="671" spans="1:11">
      <c r="A671" s="90" t="s">
        <v>9129</v>
      </c>
      <c r="B671" s="90" t="s">
        <v>9130</v>
      </c>
      <c r="C671" s="90" t="s">
        <v>13</v>
      </c>
      <c r="D671" s="90" t="str">
        <f>VLOOKUP(Tabela1[[#This Row],[Origem]],'Perguntas 1 a 24'!$J$28:$K$34,2,FALSE)</f>
        <v>Sudeste</v>
      </c>
      <c r="E671" s="90" t="s">
        <v>12010</v>
      </c>
      <c r="F671" s="91">
        <v>45849</v>
      </c>
      <c r="G671" s="92">
        <v>108235</v>
      </c>
      <c r="H671" s="90" t="s">
        <v>7</v>
      </c>
      <c r="I6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1" s="90" t="s">
        <v>9130</v>
      </c>
    </row>
    <row r="672" spans="1:11">
      <c r="A672" s="90" t="s">
        <v>11203</v>
      </c>
      <c r="B672" s="90" t="s">
        <v>11204</v>
      </c>
      <c r="C672" s="90" t="s">
        <v>15</v>
      </c>
      <c r="D672" s="90" t="str">
        <f>VLOOKUP(Tabela1[[#This Row],[Origem]],'Perguntas 1 a 24'!$J$28:$K$34,2,FALSE)</f>
        <v>Sudeste</v>
      </c>
      <c r="E672" s="90" t="s">
        <v>12011</v>
      </c>
      <c r="F672" s="91">
        <v>45849</v>
      </c>
      <c r="G672" s="92">
        <v>70966</v>
      </c>
      <c r="H672" s="90" t="s">
        <v>14</v>
      </c>
      <c r="I6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2" s="90" t="s">
        <v>11204</v>
      </c>
    </row>
    <row r="673" spans="1:11">
      <c r="A673" s="90" t="s">
        <v>3848</v>
      </c>
      <c r="B673" s="90" t="s">
        <v>3849</v>
      </c>
      <c r="C673" s="90" t="s">
        <v>12</v>
      </c>
      <c r="D673" s="90" t="str">
        <f>VLOOKUP(Tabela1[[#This Row],[Origem]],'Perguntas 1 a 24'!$J$28:$K$34,2,FALSE)</f>
        <v>Sudeste</v>
      </c>
      <c r="E673" s="90" t="s">
        <v>12012</v>
      </c>
      <c r="F673" s="91">
        <v>45850</v>
      </c>
      <c r="G673" s="92">
        <v>79237</v>
      </c>
      <c r="H673" s="90" t="s">
        <v>11</v>
      </c>
      <c r="I6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3" s="90" t="s">
        <v>3849</v>
      </c>
    </row>
    <row r="674" spans="1:11">
      <c r="A674" s="90" t="s">
        <v>9699</v>
      </c>
      <c r="B674" s="90" t="s">
        <v>9700</v>
      </c>
      <c r="C674" s="90" t="s">
        <v>12</v>
      </c>
      <c r="D674" s="90" t="str">
        <f>VLOOKUP(Tabela1[[#This Row],[Origem]],'Perguntas 1 a 24'!$J$28:$K$34,2,FALSE)</f>
        <v>Sudeste</v>
      </c>
      <c r="E674" s="90" t="s">
        <v>12013</v>
      </c>
      <c r="F674" s="91">
        <v>45850</v>
      </c>
      <c r="G674" s="92">
        <v>25234</v>
      </c>
      <c r="H674" s="90" t="s">
        <v>9</v>
      </c>
      <c r="I6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74" s="90" t="s">
        <v>9700</v>
      </c>
    </row>
    <row r="675" spans="1:11">
      <c r="A675" s="90" t="s">
        <v>4840</v>
      </c>
      <c r="B675" s="90" t="s">
        <v>4841</v>
      </c>
      <c r="C675" s="90" t="s">
        <v>15</v>
      </c>
      <c r="D675" s="90" t="str">
        <f>VLOOKUP(Tabela1[[#This Row],[Origem]],'Perguntas 1 a 24'!$J$28:$K$34,2,FALSE)</f>
        <v>Sudeste</v>
      </c>
      <c r="E675" s="90" t="s">
        <v>12014</v>
      </c>
      <c r="F675" s="91">
        <v>45851</v>
      </c>
      <c r="G675" s="92">
        <v>102996</v>
      </c>
      <c r="H675" s="90" t="s">
        <v>7</v>
      </c>
      <c r="I6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5" s="90" t="s">
        <v>4841</v>
      </c>
    </row>
    <row r="676" spans="1:11">
      <c r="A676" s="90" t="s">
        <v>7268</v>
      </c>
      <c r="B676" s="90" t="s">
        <v>7269</v>
      </c>
      <c r="C676" s="90" t="s">
        <v>12</v>
      </c>
      <c r="D676" s="90" t="str">
        <f>VLOOKUP(Tabela1[[#This Row],[Origem]],'Perguntas 1 a 24'!$J$28:$K$34,2,FALSE)</f>
        <v>Sudeste</v>
      </c>
      <c r="E676" s="90" t="s">
        <v>12015</v>
      </c>
      <c r="F676" s="91">
        <v>45852</v>
      </c>
      <c r="G676" s="92">
        <v>118122</v>
      </c>
      <c r="H676" s="90" t="s">
        <v>9</v>
      </c>
      <c r="I6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6" s="90" t="s">
        <v>7269</v>
      </c>
    </row>
    <row r="677" spans="1:11">
      <c r="A677" s="90" t="s">
        <v>10249</v>
      </c>
      <c r="B677" s="90" t="s">
        <v>10250</v>
      </c>
      <c r="C677" s="90" t="s">
        <v>10</v>
      </c>
      <c r="D677" s="90" t="str">
        <f>VLOOKUP(Tabela1[[#This Row],[Origem]],'Perguntas 1 a 24'!$J$28:$K$34,2,FALSE)</f>
        <v>Centro-Oeste</v>
      </c>
      <c r="E677" s="90" t="s">
        <v>12016</v>
      </c>
      <c r="F677" s="91">
        <v>45852</v>
      </c>
      <c r="G677" s="92">
        <v>118973</v>
      </c>
      <c r="H677" s="90" t="s">
        <v>11</v>
      </c>
      <c r="I6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7" s="90" t="s">
        <v>10250</v>
      </c>
    </row>
    <row r="678" spans="1:11">
      <c r="A678" s="90" t="s">
        <v>8108</v>
      </c>
      <c r="B678" s="90" t="s">
        <v>8109</v>
      </c>
      <c r="C678" s="90" t="s">
        <v>10</v>
      </c>
      <c r="D678" s="90" t="str">
        <f>VLOOKUP(Tabela1[[#This Row],[Origem]],'Perguntas 1 a 24'!$J$28:$K$34,2,FALSE)</f>
        <v>Centro-Oeste</v>
      </c>
      <c r="E678" s="90" t="s">
        <v>12017</v>
      </c>
      <c r="F678" s="91">
        <v>45853</v>
      </c>
      <c r="G678" s="92">
        <v>80457</v>
      </c>
      <c r="H678" s="90" t="s">
        <v>11</v>
      </c>
      <c r="I6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78" s="90" t="s">
        <v>8109</v>
      </c>
    </row>
    <row r="679" spans="1:11">
      <c r="A679" s="90" t="s">
        <v>6364</v>
      </c>
      <c r="B679" s="90" t="s">
        <v>6365</v>
      </c>
      <c r="C679" s="90" t="s">
        <v>15</v>
      </c>
      <c r="D679" s="90" t="str">
        <f>VLOOKUP(Tabela1[[#This Row],[Origem]],'Perguntas 1 a 24'!$J$28:$K$34,2,FALSE)</f>
        <v>Sudeste</v>
      </c>
      <c r="E679" s="90" t="s">
        <v>12018</v>
      </c>
      <c r="F679" s="91">
        <v>45854</v>
      </c>
      <c r="G679" s="92">
        <v>29816</v>
      </c>
      <c r="H679" s="90" t="s">
        <v>9</v>
      </c>
      <c r="I6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79" s="90" t="s">
        <v>6365</v>
      </c>
    </row>
    <row r="680" spans="1:11">
      <c r="A680" s="90" t="s">
        <v>6492</v>
      </c>
      <c r="B680" s="90" t="s">
        <v>6493</v>
      </c>
      <c r="C680" s="90" t="s">
        <v>12</v>
      </c>
      <c r="D680" s="90" t="str">
        <f>VLOOKUP(Tabela1[[#This Row],[Origem]],'Perguntas 1 a 24'!$J$28:$K$34,2,FALSE)</f>
        <v>Sudeste</v>
      </c>
      <c r="E680" s="90" t="s">
        <v>12019</v>
      </c>
      <c r="F680" s="91">
        <v>45854</v>
      </c>
      <c r="G680" s="92">
        <v>41581</v>
      </c>
      <c r="H680" s="90" t="s">
        <v>11</v>
      </c>
      <c r="I6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80" s="90" t="s">
        <v>6493</v>
      </c>
    </row>
    <row r="681" spans="1:11">
      <c r="A681" s="90" t="s">
        <v>7448</v>
      </c>
      <c r="B681" s="90" t="s">
        <v>7449</v>
      </c>
      <c r="C681" s="90" t="s">
        <v>12</v>
      </c>
      <c r="D681" s="90" t="str">
        <f>VLOOKUP(Tabela1[[#This Row],[Origem]],'Perguntas 1 a 24'!$J$28:$K$34,2,FALSE)</f>
        <v>Sudeste</v>
      </c>
      <c r="E681" s="90" t="s">
        <v>12020</v>
      </c>
      <c r="F681" s="91">
        <v>45854</v>
      </c>
      <c r="G681" s="92">
        <v>59833</v>
      </c>
      <c r="H681" s="90" t="s">
        <v>7</v>
      </c>
      <c r="I6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81" s="90" t="s">
        <v>7449</v>
      </c>
    </row>
    <row r="682" spans="1:11">
      <c r="A682" s="90" t="s">
        <v>4892</v>
      </c>
      <c r="B682" s="90" t="s">
        <v>4893</v>
      </c>
      <c r="C682" s="90" t="s">
        <v>15</v>
      </c>
      <c r="D682" s="90" t="str">
        <f>VLOOKUP(Tabela1[[#This Row],[Origem]],'Perguntas 1 a 24'!$J$28:$K$34,2,FALSE)</f>
        <v>Sudeste</v>
      </c>
      <c r="E682" s="90" t="s">
        <v>12021</v>
      </c>
      <c r="F682" s="91">
        <v>45858</v>
      </c>
      <c r="G682" s="92">
        <v>46585</v>
      </c>
      <c r="H682" s="90" t="s">
        <v>11</v>
      </c>
      <c r="I6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82" s="90" t="s">
        <v>4893</v>
      </c>
    </row>
    <row r="683" spans="1:11">
      <c r="A683" s="90" t="s">
        <v>8254</v>
      </c>
      <c r="B683" s="90" t="s">
        <v>8255</v>
      </c>
      <c r="C683" s="90" t="s">
        <v>6</v>
      </c>
      <c r="D683" s="90" t="str">
        <f>VLOOKUP(Tabela1[[#This Row],[Origem]],'Perguntas 1 a 24'!$J$28:$K$34,2,FALSE)</f>
        <v>Nordeste</v>
      </c>
      <c r="E683" s="90" t="s">
        <v>12022</v>
      </c>
      <c r="F683" s="91">
        <v>45858</v>
      </c>
      <c r="G683" s="92">
        <v>55642</v>
      </c>
      <c r="H683" s="90" t="s">
        <v>14</v>
      </c>
      <c r="I6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83" s="90" t="s">
        <v>8255</v>
      </c>
    </row>
    <row r="684" spans="1:11">
      <c r="A684" s="90" t="s">
        <v>3730</v>
      </c>
      <c r="B684" s="90" t="s">
        <v>3731</v>
      </c>
      <c r="C684" s="90" t="s">
        <v>6</v>
      </c>
      <c r="D684" s="90" t="str">
        <f>VLOOKUP(Tabela1[[#This Row],[Origem]],'Perguntas 1 a 24'!$J$28:$K$34,2,FALSE)</f>
        <v>Nordeste</v>
      </c>
      <c r="E684" s="90" t="s">
        <v>12023</v>
      </c>
      <c r="F684" s="91">
        <v>45859</v>
      </c>
      <c r="G684" s="92">
        <v>29433</v>
      </c>
      <c r="H684" s="90" t="s">
        <v>7</v>
      </c>
      <c r="I6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84" s="90" t="s">
        <v>3731</v>
      </c>
    </row>
    <row r="685" spans="1:11">
      <c r="A685" s="90" t="s">
        <v>4562</v>
      </c>
      <c r="B685" s="90" t="s">
        <v>4563</v>
      </c>
      <c r="C685" s="90" t="s">
        <v>13</v>
      </c>
      <c r="D685" s="90" t="str">
        <f>VLOOKUP(Tabela1[[#This Row],[Origem]],'Perguntas 1 a 24'!$J$28:$K$34,2,FALSE)</f>
        <v>Sudeste</v>
      </c>
      <c r="E685" s="90" t="s">
        <v>12024</v>
      </c>
      <c r="F685" s="91">
        <v>45860</v>
      </c>
      <c r="G685" s="92">
        <v>100298</v>
      </c>
      <c r="H685" s="90" t="s">
        <v>14</v>
      </c>
      <c r="I6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85" s="90" t="s">
        <v>4563</v>
      </c>
    </row>
    <row r="686" spans="1:11">
      <c r="A686" s="90" t="s">
        <v>5002</v>
      </c>
      <c r="B686" s="90" t="s">
        <v>5003</v>
      </c>
      <c r="C686" s="90" t="s">
        <v>12</v>
      </c>
      <c r="D686" s="90" t="str">
        <f>VLOOKUP(Tabela1[[#This Row],[Origem]],'Perguntas 1 a 24'!$J$28:$K$34,2,FALSE)</f>
        <v>Sudeste</v>
      </c>
      <c r="E686" s="90" t="s">
        <v>12025</v>
      </c>
      <c r="F686" s="91">
        <v>45861</v>
      </c>
      <c r="G686" s="92">
        <v>73524</v>
      </c>
      <c r="H686" s="90" t="s">
        <v>7</v>
      </c>
      <c r="I6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86" s="90" t="s">
        <v>5003</v>
      </c>
    </row>
    <row r="687" spans="1:11">
      <c r="A687" s="90" t="s">
        <v>6808</v>
      </c>
      <c r="B687" s="90" t="s">
        <v>6809</v>
      </c>
      <c r="C687" s="90" t="s">
        <v>6</v>
      </c>
      <c r="D687" s="90" t="str">
        <f>VLOOKUP(Tabela1[[#This Row],[Origem]],'Perguntas 1 a 24'!$J$28:$K$34,2,FALSE)</f>
        <v>Nordeste</v>
      </c>
      <c r="E687" s="90" t="s">
        <v>12026</v>
      </c>
      <c r="F687" s="91">
        <v>45861</v>
      </c>
      <c r="G687" s="92">
        <v>79593</v>
      </c>
      <c r="H687" s="90" t="s">
        <v>9</v>
      </c>
      <c r="I6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87" s="90" t="s">
        <v>6809</v>
      </c>
    </row>
    <row r="688" spans="1:11">
      <c r="A688" s="90" t="s">
        <v>9093</v>
      </c>
      <c r="B688" s="90" t="s">
        <v>9094</v>
      </c>
      <c r="C688" s="90" t="s">
        <v>10</v>
      </c>
      <c r="D688" s="90" t="str">
        <f>VLOOKUP(Tabela1[[#This Row],[Origem]],'Perguntas 1 a 24'!$J$28:$K$34,2,FALSE)</f>
        <v>Centro-Oeste</v>
      </c>
      <c r="E688" s="90" t="s">
        <v>12027</v>
      </c>
      <c r="F688" s="91">
        <v>45861</v>
      </c>
      <c r="G688" s="92">
        <v>74592</v>
      </c>
      <c r="H688" s="90" t="s">
        <v>9</v>
      </c>
      <c r="I6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88" s="90" t="s">
        <v>9094</v>
      </c>
    </row>
    <row r="689" spans="1:11">
      <c r="A689" s="90" t="s">
        <v>3940</v>
      </c>
      <c r="B689" s="90" t="s">
        <v>3941</v>
      </c>
      <c r="C689" s="90" t="s">
        <v>10</v>
      </c>
      <c r="D689" s="90" t="str">
        <f>VLOOKUP(Tabela1[[#This Row],[Origem]],'Perguntas 1 a 24'!$J$28:$K$34,2,FALSE)</f>
        <v>Centro-Oeste</v>
      </c>
      <c r="E689" s="90" t="s">
        <v>12028</v>
      </c>
      <c r="F689" s="91">
        <v>45862</v>
      </c>
      <c r="G689" s="92">
        <v>99703</v>
      </c>
      <c r="H689" s="90" t="s">
        <v>9</v>
      </c>
      <c r="I6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89" s="90" t="s">
        <v>3941</v>
      </c>
    </row>
    <row r="690" spans="1:11">
      <c r="A690" s="90" t="s">
        <v>4046</v>
      </c>
      <c r="B690" s="90" t="s">
        <v>4047</v>
      </c>
      <c r="C690" s="90" t="s">
        <v>6</v>
      </c>
      <c r="D690" s="90" t="str">
        <f>VLOOKUP(Tabela1[[#This Row],[Origem]],'Perguntas 1 a 24'!$J$28:$K$34,2,FALSE)</f>
        <v>Nordeste</v>
      </c>
      <c r="E690" s="90" t="s">
        <v>12029</v>
      </c>
      <c r="F690" s="91">
        <v>45862</v>
      </c>
      <c r="G690" s="92">
        <v>34402</v>
      </c>
      <c r="H690" s="90" t="s">
        <v>14</v>
      </c>
      <c r="I6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90" s="90" t="s">
        <v>4047</v>
      </c>
    </row>
    <row r="691" spans="1:11">
      <c r="A691" s="90" t="s">
        <v>6252</v>
      </c>
      <c r="B691" s="90" t="s">
        <v>6253</v>
      </c>
      <c r="C691" s="90" t="s">
        <v>13</v>
      </c>
      <c r="D691" s="90" t="str">
        <f>VLOOKUP(Tabela1[[#This Row],[Origem]],'Perguntas 1 a 24'!$J$28:$K$34,2,FALSE)</f>
        <v>Sudeste</v>
      </c>
      <c r="E691" s="90" t="s">
        <v>12030</v>
      </c>
      <c r="F691" s="91">
        <v>45862</v>
      </c>
      <c r="G691" s="92">
        <v>71362</v>
      </c>
      <c r="H691" s="90" t="s">
        <v>9</v>
      </c>
      <c r="I6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91" s="90" t="s">
        <v>6253</v>
      </c>
    </row>
    <row r="692" spans="1:11">
      <c r="A692" s="90" t="s">
        <v>8394</v>
      </c>
      <c r="B692" s="90" t="s">
        <v>8395</v>
      </c>
      <c r="C692" s="90" t="s">
        <v>12</v>
      </c>
      <c r="D692" s="90" t="str">
        <f>VLOOKUP(Tabela1[[#This Row],[Origem]],'Perguntas 1 a 24'!$J$28:$K$34,2,FALSE)</f>
        <v>Sudeste</v>
      </c>
      <c r="E692" s="90" t="s">
        <v>12031</v>
      </c>
      <c r="F692" s="91">
        <v>45862</v>
      </c>
      <c r="G692" s="92">
        <v>108334</v>
      </c>
      <c r="H692" s="90" t="s">
        <v>11</v>
      </c>
      <c r="I6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92" s="90" t="s">
        <v>8395</v>
      </c>
    </row>
    <row r="693" spans="1:11">
      <c r="A693" s="90" t="s">
        <v>10559</v>
      </c>
      <c r="B693" s="90" t="s">
        <v>10560</v>
      </c>
      <c r="C693" s="90" t="s">
        <v>8</v>
      </c>
      <c r="D693" s="90" t="str">
        <f>VLOOKUP(Tabela1[[#This Row],[Origem]],'Perguntas 1 a 24'!$J$28:$K$34,2,FALSE)</f>
        <v>Nordeste</v>
      </c>
      <c r="E693" s="90" t="s">
        <v>12032</v>
      </c>
      <c r="F693" s="91">
        <v>45862</v>
      </c>
      <c r="G693" s="92">
        <v>83238</v>
      </c>
      <c r="H693" s="90" t="s">
        <v>9</v>
      </c>
      <c r="I6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93" s="90" t="s">
        <v>10560</v>
      </c>
    </row>
    <row r="694" spans="1:11">
      <c r="A694" s="90" t="s">
        <v>5442</v>
      </c>
      <c r="B694" s="90" t="s">
        <v>5443</v>
      </c>
      <c r="C694" s="90" t="s">
        <v>15</v>
      </c>
      <c r="D694" s="90" t="str">
        <f>VLOOKUP(Tabela1[[#This Row],[Origem]],'Perguntas 1 a 24'!$J$28:$K$34,2,FALSE)</f>
        <v>Sudeste</v>
      </c>
      <c r="E694" s="90" t="s">
        <v>12033</v>
      </c>
      <c r="F694" s="91">
        <v>45863</v>
      </c>
      <c r="G694" s="92">
        <v>57577</v>
      </c>
      <c r="H694" s="90" t="s">
        <v>9</v>
      </c>
      <c r="I6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94" s="90" t="s">
        <v>5443</v>
      </c>
    </row>
    <row r="695" spans="1:11">
      <c r="A695" s="90" t="s">
        <v>5692</v>
      </c>
      <c r="B695" s="90" t="s">
        <v>5693</v>
      </c>
      <c r="C695" s="90" t="s">
        <v>8</v>
      </c>
      <c r="D695" s="90" t="str">
        <f>VLOOKUP(Tabela1[[#This Row],[Origem]],'Perguntas 1 a 24'!$J$28:$K$34,2,FALSE)</f>
        <v>Nordeste</v>
      </c>
      <c r="E695" s="90" t="s">
        <v>12034</v>
      </c>
      <c r="F695" s="91">
        <v>45863</v>
      </c>
      <c r="G695" s="92">
        <v>72640</v>
      </c>
      <c r="H695" s="90" t="s">
        <v>9</v>
      </c>
      <c r="I6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95" s="90" t="s">
        <v>5693</v>
      </c>
    </row>
    <row r="696" spans="1:11">
      <c r="A696" s="90" t="s">
        <v>11241</v>
      </c>
      <c r="B696" s="90" t="s">
        <v>11242</v>
      </c>
      <c r="C696" s="90" t="s">
        <v>13</v>
      </c>
      <c r="D696" s="90" t="str">
        <f>VLOOKUP(Tabela1[[#This Row],[Origem]],'Perguntas 1 a 24'!$J$28:$K$34,2,FALSE)</f>
        <v>Sudeste</v>
      </c>
      <c r="E696" s="90" t="s">
        <v>12035</v>
      </c>
      <c r="F696" s="91">
        <v>45863</v>
      </c>
      <c r="G696" s="92">
        <v>85920</v>
      </c>
      <c r="H696" s="90" t="s">
        <v>14</v>
      </c>
      <c r="I6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96" s="90" t="s">
        <v>11242</v>
      </c>
    </row>
    <row r="697" spans="1:11">
      <c r="A697" s="90" t="s">
        <v>7884</v>
      </c>
      <c r="B697" s="90" t="s">
        <v>7885</v>
      </c>
      <c r="C697" s="90" t="s">
        <v>6</v>
      </c>
      <c r="D697" s="90" t="str">
        <f>VLOOKUP(Tabela1[[#This Row],[Origem]],'Perguntas 1 a 24'!$J$28:$K$34,2,FALSE)</f>
        <v>Nordeste</v>
      </c>
      <c r="E697" s="90" t="s">
        <v>12036</v>
      </c>
      <c r="F697" s="91">
        <v>45864</v>
      </c>
      <c r="G697" s="92">
        <v>108996</v>
      </c>
      <c r="H697" s="90" t="s">
        <v>14</v>
      </c>
      <c r="I6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97" s="90" t="s">
        <v>7885</v>
      </c>
    </row>
    <row r="698" spans="1:11">
      <c r="A698" s="90" t="s">
        <v>10175</v>
      </c>
      <c r="B698" s="90" t="s">
        <v>10176</v>
      </c>
      <c r="C698" s="90" t="s">
        <v>16</v>
      </c>
      <c r="D698" s="90" t="str">
        <f>VLOOKUP(Tabela1[[#This Row],[Origem]],'Perguntas 1 a 24'!$J$28:$K$34,2,FALSE)</f>
        <v>Sudeste</v>
      </c>
      <c r="E698" s="90" t="s">
        <v>12037</v>
      </c>
      <c r="F698" s="91">
        <v>45864</v>
      </c>
      <c r="G698" s="92">
        <v>66940</v>
      </c>
      <c r="H698" s="90" t="s">
        <v>14</v>
      </c>
      <c r="I6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698" s="90" t="s">
        <v>10176</v>
      </c>
    </row>
    <row r="699" spans="1:11">
      <c r="A699" s="90" t="s">
        <v>11249</v>
      </c>
      <c r="B699" s="90" t="s">
        <v>11250</v>
      </c>
      <c r="C699" s="90" t="s">
        <v>8</v>
      </c>
      <c r="D699" s="90" t="str">
        <f>VLOOKUP(Tabela1[[#This Row],[Origem]],'Perguntas 1 a 24'!$J$28:$K$34,2,FALSE)</f>
        <v>Nordeste</v>
      </c>
      <c r="E699" s="90" t="s">
        <v>12038</v>
      </c>
      <c r="F699" s="91">
        <v>45864</v>
      </c>
      <c r="G699" s="92">
        <v>38004</v>
      </c>
      <c r="H699" s="90" t="s">
        <v>9</v>
      </c>
      <c r="I6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699" s="90" t="s">
        <v>11250</v>
      </c>
    </row>
    <row r="700" spans="1:11">
      <c r="A700" s="90" t="s">
        <v>8857</v>
      </c>
      <c r="B700" s="90" t="s">
        <v>8858</v>
      </c>
      <c r="C700" s="90" t="s">
        <v>6</v>
      </c>
      <c r="D700" s="90" t="str">
        <f>VLOOKUP(Tabela1[[#This Row],[Origem]],'Perguntas 1 a 24'!$J$28:$K$34,2,FALSE)</f>
        <v>Nordeste</v>
      </c>
      <c r="E700" s="90" t="s">
        <v>12039</v>
      </c>
      <c r="F700" s="91">
        <v>45865</v>
      </c>
      <c r="G700" s="92">
        <v>103672</v>
      </c>
      <c r="H700" s="90" t="s">
        <v>14</v>
      </c>
      <c r="I7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00" s="90" t="s">
        <v>8858</v>
      </c>
    </row>
    <row r="701" spans="1:11">
      <c r="A701" s="90" t="s">
        <v>6224</v>
      </c>
      <c r="B701" s="90" t="s">
        <v>6225</v>
      </c>
      <c r="C701" s="90" t="s">
        <v>13</v>
      </c>
      <c r="D701" s="90" t="str">
        <f>VLOOKUP(Tabela1[[#This Row],[Origem]],'Perguntas 1 a 24'!$J$28:$K$34,2,FALSE)</f>
        <v>Sudeste</v>
      </c>
      <c r="E701" s="90" t="s">
        <v>12040</v>
      </c>
      <c r="F701" s="91">
        <v>45866</v>
      </c>
      <c r="G701" s="92">
        <v>73734</v>
      </c>
      <c r="H701" s="90" t="s">
        <v>11</v>
      </c>
      <c r="I7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01" s="90" t="s">
        <v>6225</v>
      </c>
    </row>
    <row r="702" spans="1:11">
      <c r="A702" s="90" t="s">
        <v>7704</v>
      </c>
      <c r="B702" s="90" t="s">
        <v>7705</v>
      </c>
      <c r="C702" s="90" t="s">
        <v>8</v>
      </c>
      <c r="D702" s="90" t="str">
        <f>VLOOKUP(Tabela1[[#This Row],[Origem]],'Perguntas 1 a 24'!$J$28:$K$34,2,FALSE)</f>
        <v>Nordeste</v>
      </c>
      <c r="E702" s="90" t="s">
        <v>12041</v>
      </c>
      <c r="F702" s="91">
        <v>45866</v>
      </c>
      <c r="G702" s="92">
        <v>64053</v>
      </c>
      <c r="H702" s="90" t="s">
        <v>9</v>
      </c>
      <c r="I7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02" s="90" t="s">
        <v>7705</v>
      </c>
    </row>
    <row r="703" spans="1:11">
      <c r="A703" s="90" t="s">
        <v>3988</v>
      </c>
      <c r="B703" s="90" t="s">
        <v>3989</v>
      </c>
      <c r="C703" s="90" t="s">
        <v>8</v>
      </c>
      <c r="D703" s="90" t="str">
        <f>VLOOKUP(Tabela1[[#This Row],[Origem]],'Perguntas 1 a 24'!$J$28:$K$34,2,FALSE)</f>
        <v>Nordeste</v>
      </c>
      <c r="E703" s="90" t="s">
        <v>12042</v>
      </c>
      <c r="F703" s="91">
        <v>45867</v>
      </c>
      <c r="G703" s="92">
        <v>46945</v>
      </c>
      <c r="H703" s="90" t="s">
        <v>7</v>
      </c>
      <c r="I7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03" s="90" t="s">
        <v>3989</v>
      </c>
    </row>
    <row r="704" spans="1:11">
      <c r="A704" s="90" t="s">
        <v>7172</v>
      </c>
      <c r="B704" s="90" t="s">
        <v>7173</v>
      </c>
      <c r="C704" s="90" t="s">
        <v>6</v>
      </c>
      <c r="D704" s="90" t="str">
        <f>VLOOKUP(Tabela1[[#This Row],[Origem]],'Perguntas 1 a 24'!$J$28:$K$34,2,FALSE)</f>
        <v>Nordeste</v>
      </c>
      <c r="E704" s="90" t="s">
        <v>12043</v>
      </c>
      <c r="F704" s="91">
        <v>45867</v>
      </c>
      <c r="G704" s="92">
        <v>27574</v>
      </c>
      <c r="H704" s="90" t="s">
        <v>9</v>
      </c>
      <c r="I7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04" s="90" t="s">
        <v>7173</v>
      </c>
    </row>
    <row r="705" spans="1:11">
      <c r="A705" s="90" t="s">
        <v>7006</v>
      </c>
      <c r="B705" s="90" t="s">
        <v>7007</v>
      </c>
      <c r="C705" s="90" t="s">
        <v>8</v>
      </c>
      <c r="D705" s="90" t="str">
        <f>VLOOKUP(Tabela1[[#This Row],[Origem]],'Perguntas 1 a 24'!$J$28:$K$34,2,FALSE)</f>
        <v>Nordeste</v>
      </c>
      <c r="E705" s="90" t="s">
        <v>12044</v>
      </c>
      <c r="F705" s="91">
        <v>45870</v>
      </c>
      <c r="G705" s="92">
        <v>107886</v>
      </c>
      <c r="H705" s="90" t="s">
        <v>9</v>
      </c>
      <c r="I7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05" s="90" t="s">
        <v>7007</v>
      </c>
    </row>
    <row r="706" spans="1:11">
      <c r="A706" s="90" t="s">
        <v>8130</v>
      </c>
      <c r="B706" s="90" t="s">
        <v>8131</v>
      </c>
      <c r="C706" s="90" t="s">
        <v>6</v>
      </c>
      <c r="D706" s="90" t="str">
        <f>VLOOKUP(Tabela1[[#This Row],[Origem]],'Perguntas 1 a 24'!$J$28:$K$34,2,FALSE)</f>
        <v>Nordeste</v>
      </c>
      <c r="E706" s="90" t="s">
        <v>12045</v>
      </c>
      <c r="F706" s="91">
        <v>45870</v>
      </c>
      <c r="G706" s="92">
        <v>68053</v>
      </c>
      <c r="H706" s="90" t="s">
        <v>7</v>
      </c>
      <c r="I7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06" s="90" t="s">
        <v>8131</v>
      </c>
    </row>
    <row r="707" spans="1:11">
      <c r="A707" s="90" t="s">
        <v>8661</v>
      </c>
      <c r="B707" s="90" t="s">
        <v>8662</v>
      </c>
      <c r="C707" s="90" t="s">
        <v>16</v>
      </c>
      <c r="D707" s="90" t="str">
        <f>VLOOKUP(Tabela1[[#This Row],[Origem]],'Perguntas 1 a 24'!$J$28:$K$34,2,FALSE)</f>
        <v>Sudeste</v>
      </c>
      <c r="E707" s="90" t="s">
        <v>12046</v>
      </c>
      <c r="F707" s="91">
        <v>45870</v>
      </c>
      <c r="G707" s="92">
        <v>20403</v>
      </c>
      <c r="H707" s="90" t="s">
        <v>14</v>
      </c>
      <c r="I7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07" s="90" t="s">
        <v>8662</v>
      </c>
    </row>
    <row r="708" spans="1:11">
      <c r="A708" s="90" t="s">
        <v>10901</v>
      </c>
      <c r="B708" s="90" t="s">
        <v>10902</v>
      </c>
      <c r="C708" s="90" t="s">
        <v>16</v>
      </c>
      <c r="D708" s="90" t="str">
        <f>VLOOKUP(Tabela1[[#This Row],[Origem]],'Perguntas 1 a 24'!$J$28:$K$34,2,FALSE)</f>
        <v>Sudeste</v>
      </c>
      <c r="E708" s="90" t="s">
        <v>12047</v>
      </c>
      <c r="F708" s="91">
        <v>45870</v>
      </c>
      <c r="G708" s="92">
        <v>99918</v>
      </c>
      <c r="H708" s="90" t="s">
        <v>11</v>
      </c>
      <c r="I7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08" s="90" t="s">
        <v>10902</v>
      </c>
    </row>
    <row r="709" spans="1:11">
      <c r="A709" s="90" t="s">
        <v>11042</v>
      </c>
      <c r="B709" s="90" t="s">
        <v>11043</v>
      </c>
      <c r="C709" s="90" t="s">
        <v>12</v>
      </c>
      <c r="D709" s="90" t="str">
        <f>VLOOKUP(Tabela1[[#This Row],[Origem]],'Perguntas 1 a 24'!$J$28:$K$34,2,FALSE)</f>
        <v>Sudeste</v>
      </c>
      <c r="E709" s="90" t="s">
        <v>12048</v>
      </c>
      <c r="F709" s="91">
        <v>45870</v>
      </c>
      <c r="G709" s="92">
        <v>76085</v>
      </c>
      <c r="H709" s="90" t="s">
        <v>11</v>
      </c>
      <c r="I7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09" s="90" t="s">
        <v>11043</v>
      </c>
    </row>
    <row r="710" spans="1:11">
      <c r="A710" s="90" t="s">
        <v>8238</v>
      </c>
      <c r="B710" s="90" t="s">
        <v>8239</v>
      </c>
      <c r="C710" s="90" t="s">
        <v>8</v>
      </c>
      <c r="D710" s="90" t="str">
        <f>VLOOKUP(Tabela1[[#This Row],[Origem]],'Perguntas 1 a 24'!$J$28:$K$34,2,FALSE)</f>
        <v>Nordeste</v>
      </c>
      <c r="E710" s="90" t="s">
        <v>12049</v>
      </c>
      <c r="F710" s="91">
        <v>45871</v>
      </c>
      <c r="G710" s="92">
        <v>42868</v>
      </c>
      <c r="H710" s="90" t="s">
        <v>7</v>
      </c>
      <c r="I7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10" s="90" t="s">
        <v>8239</v>
      </c>
    </row>
    <row r="711" spans="1:11">
      <c r="A711" s="90" t="s">
        <v>9759</v>
      </c>
      <c r="B711" s="90" t="s">
        <v>9760</v>
      </c>
      <c r="C711" s="90" t="s">
        <v>13</v>
      </c>
      <c r="D711" s="90" t="str">
        <f>VLOOKUP(Tabela1[[#This Row],[Origem]],'Perguntas 1 a 24'!$J$28:$K$34,2,FALSE)</f>
        <v>Sudeste</v>
      </c>
      <c r="E711" s="90" t="s">
        <v>12050</v>
      </c>
      <c r="F711" s="91">
        <v>45871</v>
      </c>
      <c r="G711" s="92">
        <v>56967</v>
      </c>
      <c r="H711" s="90" t="s">
        <v>11</v>
      </c>
      <c r="I7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11" s="90" t="s">
        <v>9760</v>
      </c>
    </row>
    <row r="712" spans="1:11">
      <c r="A712" s="90" t="s">
        <v>6942</v>
      </c>
      <c r="B712" s="90" t="s">
        <v>6943</v>
      </c>
      <c r="C712" s="90" t="s">
        <v>15</v>
      </c>
      <c r="D712" s="90" t="str">
        <f>VLOOKUP(Tabela1[[#This Row],[Origem]],'Perguntas 1 a 24'!$J$28:$K$34,2,FALSE)</f>
        <v>Sudeste</v>
      </c>
      <c r="E712" s="90" t="s">
        <v>12051</v>
      </c>
      <c r="F712" s="91">
        <v>45872</v>
      </c>
      <c r="G712" s="92">
        <v>75160</v>
      </c>
      <c r="H712" s="90" t="s">
        <v>9</v>
      </c>
      <c r="I7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12" s="90" t="s">
        <v>6943</v>
      </c>
    </row>
    <row r="713" spans="1:11">
      <c r="A713" s="90" t="s">
        <v>8989</v>
      </c>
      <c r="B713" s="90" t="s">
        <v>8990</v>
      </c>
      <c r="C713" s="90" t="s">
        <v>10</v>
      </c>
      <c r="D713" s="90" t="str">
        <f>VLOOKUP(Tabela1[[#This Row],[Origem]],'Perguntas 1 a 24'!$J$28:$K$34,2,FALSE)</f>
        <v>Centro-Oeste</v>
      </c>
      <c r="E713" s="90" t="s">
        <v>12052</v>
      </c>
      <c r="F713" s="91">
        <v>45872</v>
      </c>
      <c r="G713" s="92">
        <v>102017</v>
      </c>
      <c r="H713" s="90" t="s">
        <v>11</v>
      </c>
      <c r="I7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13" s="90" t="s">
        <v>8990</v>
      </c>
    </row>
    <row r="714" spans="1:11">
      <c r="A714" s="90" t="s">
        <v>6174</v>
      </c>
      <c r="B714" s="90" t="s">
        <v>6175</v>
      </c>
      <c r="C714" s="90" t="s">
        <v>12</v>
      </c>
      <c r="D714" s="90" t="str">
        <f>VLOOKUP(Tabela1[[#This Row],[Origem]],'Perguntas 1 a 24'!$J$28:$K$34,2,FALSE)</f>
        <v>Sudeste</v>
      </c>
      <c r="E714" s="90" t="s">
        <v>12053</v>
      </c>
      <c r="F714" s="91">
        <v>45873</v>
      </c>
      <c r="G714" s="92">
        <v>27322</v>
      </c>
      <c r="H714" s="90" t="s">
        <v>11</v>
      </c>
      <c r="I7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14" s="90" t="s">
        <v>6175</v>
      </c>
    </row>
    <row r="715" spans="1:11">
      <c r="A715" s="90" t="s">
        <v>8659</v>
      </c>
      <c r="B715" s="90" t="s">
        <v>8660</v>
      </c>
      <c r="C715" s="90" t="s">
        <v>6</v>
      </c>
      <c r="D715" s="90" t="str">
        <f>VLOOKUP(Tabela1[[#This Row],[Origem]],'Perguntas 1 a 24'!$J$28:$K$34,2,FALSE)</f>
        <v>Nordeste</v>
      </c>
      <c r="E715" s="90" t="s">
        <v>12054</v>
      </c>
      <c r="F715" s="91">
        <v>45873</v>
      </c>
      <c r="G715" s="92">
        <v>55339</v>
      </c>
      <c r="H715" s="90" t="s">
        <v>9</v>
      </c>
      <c r="I7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15" s="90" t="s">
        <v>8660</v>
      </c>
    </row>
    <row r="716" spans="1:11">
      <c r="A716" s="90" t="s">
        <v>3866</v>
      </c>
      <c r="B716" s="90" t="s">
        <v>3867</v>
      </c>
      <c r="C716" s="90" t="s">
        <v>6</v>
      </c>
      <c r="D716" s="90" t="str">
        <f>VLOOKUP(Tabela1[[#This Row],[Origem]],'Perguntas 1 a 24'!$J$28:$K$34,2,FALSE)</f>
        <v>Nordeste</v>
      </c>
      <c r="E716" s="90" t="s">
        <v>12055</v>
      </c>
      <c r="F716" s="91">
        <v>45875</v>
      </c>
      <c r="G716" s="92">
        <v>45754</v>
      </c>
      <c r="H716" s="90" t="s">
        <v>7</v>
      </c>
      <c r="I7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16" s="90" t="s">
        <v>3867</v>
      </c>
    </row>
    <row r="717" spans="1:11">
      <c r="A717" s="90" t="s">
        <v>6340</v>
      </c>
      <c r="B717" s="90" t="s">
        <v>6341</v>
      </c>
      <c r="C717" s="90" t="s">
        <v>13</v>
      </c>
      <c r="D717" s="90" t="str">
        <f>VLOOKUP(Tabela1[[#This Row],[Origem]],'Perguntas 1 a 24'!$J$28:$K$34,2,FALSE)</f>
        <v>Sudeste</v>
      </c>
      <c r="E717" s="90" t="s">
        <v>12056</v>
      </c>
      <c r="F717" s="91">
        <v>45875</v>
      </c>
      <c r="G717" s="92">
        <v>59089</v>
      </c>
      <c r="H717" s="90" t="s">
        <v>11</v>
      </c>
      <c r="I7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17" s="90" t="s">
        <v>6341</v>
      </c>
    </row>
    <row r="718" spans="1:11">
      <c r="A718" s="90" t="s">
        <v>6366</v>
      </c>
      <c r="B718" s="90" t="s">
        <v>6367</v>
      </c>
      <c r="C718" s="90" t="s">
        <v>10</v>
      </c>
      <c r="D718" s="90" t="str">
        <f>VLOOKUP(Tabela1[[#This Row],[Origem]],'Perguntas 1 a 24'!$J$28:$K$34,2,FALSE)</f>
        <v>Centro-Oeste</v>
      </c>
      <c r="E718" s="90" t="s">
        <v>12057</v>
      </c>
      <c r="F718" s="91">
        <v>45875</v>
      </c>
      <c r="G718" s="92">
        <v>102242</v>
      </c>
      <c r="H718" s="90" t="s">
        <v>9</v>
      </c>
      <c r="I7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18" s="90" t="s">
        <v>6367</v>
      </c>
    </row>
    <row r="719" spans="1:11">
      <c r="A719" s="90" t="s">
        <v>10661</v>
      </c>
      <c r="B719" s="90" t="s">
        <v>10662</v>
      </c>
      <c r="C719" s="90" t="s">
        <v>6</v>
      </c>
      <c r="D719" s="90" t="str">
        <f>VLOOKUP(Tabela1[[#This Row],[Origem]],'Perguntas 1 a 24'!$J$28:$K$34,2,FALSE)</f>
        <v>Nordeste</v>
      </c>
      <c r="E719" s="90" t="s">
        <v>12058</v>
      </c>
      <c r="F719" s="91">
        <v>45875</v>
      </c>
      <c r="G719" s="92">
        <v>71990</v>
      </c>
      <c r="H719" s="90" t="s">
        <v>14</v>
      </c>
      <c r="I7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19" s="90" t="s">
        <v>10662</v>
      </c>
    </row>
    <row r="720" spans="1:11">
      <c r="A720" s="90" t="s">
        <v>3750</v>
      </c>
      <c r="B720" s="90" t="s">
        <v>3751</v>
      </c>
      <c r="C720" s="90" t="s">
        <v>8</v>
      </c>
      <c r="D720" s="90" t="str">
        <f>VLOOKUP(Tabela1[[#This Row],[Origem]],'Perguntas 1 a 24'!$J$28:$K$34,2,FALSE)</f>
        <v>Nordeste</v>
      </c>
      <c r="E720" s="90" t="s">
        <v>12059</v>
      </c>
      <c r="F720" s="91">
        <v>45876</v>
      </c>
      <c r="G720" s="92">
        <v>82037</v>
      </c>
      <c r="H720" s="90" t="s">
        <v>11</v>
      </c>
      <c r="I7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20" s="90" t="s">
        <v>3751</v>
      </c>
    </row>
    <row r="721" spans="1:11">
      <c r="A721" s="90" t="s">
        <v>6256</v>
      </c>
      <c r="B721" s="90" t="s">
        <v>6257</v>
      </c>
      <c r="C721" s="90" t="s">
        <v>12</v>
      </c>
      <c r="D721" s="90" t="str">
        <f>VLOOKUP(Tabela1[[#This Row],[Origem]],'Perguntas 1 a 24'!$J$28:$K$34,2,FALSE)</f>
        <v>Sudeste</v>
      </c>
      <c r="E721" s="90" t="s">
        <v>12060</v>
      </c>
      <c r="F721" s="91">
        <v>45877</v>
      </c>
      <c r="G721" s="92">
        <v>40909</v>
      </c>
      <c r="H721" s="90" t="s">
        <v>9</v>
      </c>
      <c r="I7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21" s="90" t="s">
        <v>6257</v>
      </c>
    </row>
    <row r="722" spans="1:11">
      <c r="A722" s="90" t="s">
        <v>4818</v>
      </c>
      <c r="B722" s="90" t="s">
        <v>4819</v>
      </c>
      <c r="C722" s="90" t="s">
        <v>12</v>
      </c>
      <c r="D722" s="90" t="str">
        <f>VLOOKUP(Tabela1[[#This Row],[Origem]],'Perguntas 1 a 24'!$J$28:$K$34,2,FALSE)</f>
        <v>Sudeste</v>
      </c>
      <c r="E722" s="90" t="s">
        <v>12061</v>
      </c>
      <c r="F722" s="91">
        <v>45878</v>
      </c>
      <c r="G722" s="92">
        <v>36215</v>
      </c>
      <c r="H722" s="90" t="s">
        <v>9</v>
      </c>
      <c r="I7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22" s="90" t="s">
        <v>4819</v>
      </c>
    </row>
    <row r="723" spans="1:11">
      <c r="A723" s="90" t="s">
        <v>5388</v>
      </c>
      <c r="B723" s="90" t="s">
        <v>5389</v>
      </c>
      <c r="C723" s="90" t="s">
        <v>12</v>
      </c>
      <c r="D723" s="90" t="str">
        <f>VLOOKUP(Tabela1[[#This Row],[Origem]],'Perguntas 1 a 24'!$J$28:$K$34,2,FALSE)</f>
        <v>Sudeste</v>
      </c>
      <c r="E723" s="90" t="s">
        <v>12062</v>
      </c>
      <c r="F723" s="91">
        <v>45878</v>
      </c>
      <c r="G723" s="92">
        <v>94088</v>
      </c>
      <c r="H723" s="90" t="s">
        <v>14</v>
      </c>
      <c r="I7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23" s="90" t="s">
        <v>5389</v>
      </c>
    </row>
    <row r="724" spans="1:11">
      <c r="A724" s="90" t="s">
        <v>7446</v>
      </c>
      <c r="B724" s="90" t="s">
        <v>7447</v>
      </c>
      <c r="C724" s="90" t="s">
        <v>15</v>
      </c>
      <c r="D724" s="90" t="str">
        <f>VLOOKUP(Tabela1[[#This Row],[Origem]],'Perguntas 1 a 24'!$J$28:$K$34,2,FALSE)</f>
        <v>Sudeste</v>
      </c>
      <c r="E724" s="90" t="s">
        <v>12063</v>
      </c>
      <c r="F724" s="91">
        <v>45878</v>
      </c>
      <c r="G724" s="92">
        <v>111406</v>
      </c>
      <c r="H724" s="90" t="s">
        <v>11</v>
      </c>
      <c r="I7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24" s="90" t="s">
        <v>7447</v>
      </c>
    </row>
    <row r="725" spans="1:11">
      <c r="A725" s="90" t="s">
        <v>8949</v>
      </c>
      <c r="B725" s="90" t="s">
        <v>8950</v>
      </c>
      <c r="C725" s="90" t="s">
        <v>16</v>
      </c>
      <c r="D725" s="90" t="str">
        <f>VLOOKUP(Tabela1[[#This Row],[Origem]],'Perguntas 1 a 24'!$J$28:$K$34,2,FALSE)</f>
        <v>Sudeste</v>
      </c>
      <c r="E725" s="90" t="s">
        <v>12064</v>
      </c>
      <c r="F725" s="91">
        <v>45879</v>
      </c>
      <c r="G725" s="92">
        <v>77875</v>
      </c>
      <c r="H725" s="90" t="s">
        <v>14</v>
      </c>
      <c r="I7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25" s="90" t="s">
        <v>8950</v>
      </c>
    </row>
    <row r="726" spans="1:11">
      <c r="A726" s="90" t="s">
        <v>3904</v>
      </c>
      <c r="B726" s="90" t="s">
        <v>3905</v>
      </c>
      <c r="C726" s="90" t="s">
        <v>6</v>
      </c>
      <c r="D726" s="90" t="str">
        <f>VLOOKUP(Tabela1[[#This Row],[Origem]],'Perguntas 1 a 24'!$J$28:$K$34,2,FALSE)</f>
        <v>Nordeste</v>
      </c>
      <c r="E726" s="90" t="s">
        <v>12065</v>
      </c>
      <c r="F726" s="91">
        <v>45881</v>
      </c>
      <c r="G726" s="92">
        <v>54264</v>
      </c>
      <c r="H726" s="90" t="s">
        <v>11</v>
      </c>
      <c r="I7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26" s="90" t="s">
        <v>3905</v>
      </c>
    </row>
    <row r="727" spans="1:11">
      <c r="A727" s="90" t="s">
        <v>10723</v>
      </c>
      <c r="B727" s="90" t="s">
        <v>10724</v>
      </c>
      <c r="C727" s="90" t="s">
        <v>6</v>
      </c>
      <c r="D727" s="90" t="str">
        <f>VLOOKUP(Tabela1[[#This Row],[Origem]],'Perguntas 1 a 24'!$J$28:$K$34,2,FALSE)</f>
        <v>Nordeste</v>
      </c>
      <c r="E727" s="90" t="s">
        <v>12066</v>
      </c>
      <c r="F727" s="91">
        <v>45881</v>
      </c>
      <c r="G727" s="92">
        <v>36947</v>
      </c>
      <c r="H727" s="90" t="s">
        <v>7</v>
      </c>
      <c r="I7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27" s="90" t="s">
        <v>10724</v>
      </c>
    </row>
    <row r="728" spans="1:11">
      <c r="A728" s="90" t="s">
        <v>7290</v>
      </c>
      <c r="B728" s="90" t="s">
        <v>7291</v>
      </c>
      <c r="C728" s="90" t="s">
        <v>6</v>
      </c>
      <c r="D728" s="90" t="str">
        <f>VLOOKUP(Tabela1[[#This Row],[Origem]],'Perguntas 1 a 24'!$J$28:$K$34,2,FALSE)</f>
        <v>Nordeste</v>
      </c>
      <c r="E728" s="90" t="s">
        <v>12067</v>
      </c>
      <c r="F728" s="91">
        <v>45882</v>
      </c>
      <c r="G728" s="92">
        <v>96725</v>
      </c>
      <c r="H728" s="90" t="s">
        <v>7</v>
      </c>
      <c r="I7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28" s="90" t="s">
        <v>7291</v>
      </c>
    </row>
    <row r="729" spans="1:11">
      <c r="A729" s="90" t="s">
        <v>10651</v>
      </c>
      <c r="B729" s="90" t="s">
        <v>10652</v>
      </c>
      <c r="C729" s="90" t="s">
        <v>6</v>
      </c>
      <c r="D729" s="90" t="str">
        <f>VLOOKUP(Tabela1[[#This Row],[Origem]],'Perguntas 1 a 24'!$J$28:$K$34,2,FALSE)</f>
        <v>Nordeste</v>
      </c>
      <c r="E729" s="90" t="s">
        <v>12068</v>
      </c>
      <c r="F729" s="91">
        <v>45883</v>
      </c>
      <c r="G729" s="92">
        <v>38081</v>
      </c>
      <c r="H729" s="90" t="s">
        <v>7</v>
      </c>
      <c r="I7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29" s="90" t="s">
        <v>10652</v>
      </c>
    </row>
    <row r="730" spans="1:11">
      <c r="A730" s="90" t="s">
        <v>4780</v>
      </c>
      <c r="B730" s="90" t="s">
        <v>4781</v>
      </c>
      <c r="C730" s="90" t="s">
        <v>13</v>
      </c>
      <c r="D730" s="90" t="str">
        <f>VLOOKUP(Tabela1[[#This Row],[Origem]],'Perguntas 1 a 24'!$J$28:$K$34,2,FALSE)</f>
        <v>Sudeste</v>
      </c>
      <c r="E730" s="90" t="s">
        <v>12069</v>
      </c>
      <c r="F730" s="91">
        <v>45884</v>
      </c>
      <c r="G730" s="92">
        <v>55323</v>
      </c>
      <c r="H730" s="90" t="s">
        <v>14</v>
      </c>
      <c r="I7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30" s="90" t="s">
        <v>4781</v>
      </c>
    </row>
    <row r="731" spans="1:11">
      <c r="A731" s="90" t="s">
        <v>7316</v>
      </c>
      <c r="B731" s="90" t="s">
        <v>7317</v>
      </c>
      <c r="C731" s="90" t="s">
        <v>16</v>
      </c>
      <c r="D731" s="90" t="str">
        <f>VLOOKUP(Tabela1[[#This Row],[Origem]],'Perguntas 1 a 24'!$J$28:$K$34,2,FALSE)</f>
        <v>Sudeste</v>
      </c>
      <c r="E731" s="90" t="s">
        <v>12070</v>
      </c>
      <c r="F731" s="91">
        <v>45885</v>
      </c>
      <c r="G731" s="92">
        <v>37874</v>
      </c>
      <c r="H731" s="90" t="s">
        <v>7</v>
      </c>
      <c r="I7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31" s="90" t="s">
        <v>7317</v>
      </c>
    </row>
    <row r="732" spans="1:11">
      <c r="A732" s="90" t="s">
        <v>7358</v>
      </c>
      <c r="B732" s="90" t="s">
        <v>7359</v>
      </c>
      <c r="C732" s="90" t="s">
        <v>8</v>
      </c>
      <c r="D732" s="90" t="str">
        <f>VLOOKUP(Tabela1[[#This Row],[Origem]],'Perguntas 1 a 24'!$J$28:$K$34,2,FALSE)</f>
        <v>Nordeste</v>
      </c>
      <c r="E732" s="90" t="s">
        <v>12071</v>
      </c>
      <c r="F732" s="91">
        <v>45885</v>
      </c>
      <c r="G732" s="92">
        <v>82349</v>
      </c>
      <c r="H732" s="90" t="s">
        <v>9</v>
      </c>
      <c r="I7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32" s="90" t="s">
        <v>7359</v>
      </c>
    </row>
    <row r="733" spans="1:11">
      <c r="A733" s="90" t="s">
        <v>4566</v>
      </c>
      <c r="B733" s="90" t="s">
        <v>4567</v>
      </c>
      <c r="C733" s="90" t="s">
        <v>15</v>
      </c>
      <c r="D733" s="90" t="str">
        <f>VLOOKUP(Tabela1[[#This Row],[Origem]],'Perguntas 1 a 24'!$J$28:$K$34,2,FALSE)</f>
        <v>Sudeste</v>
      </c>
      <c r="E733" s="90" t="s">
        <v>12072</v>
      </c>
      <c r="F733" s="91">
        <v>45886</v>
      </c>
      <c r="G733" s="92">
        <v>56607</v>
      </c>
      <c r="H733" s="90" t="s">
        <v>7</v>
      </c>
      <c r="I7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33" s="90" t="s">
        <v>4567</v>
      </c>
    </row>
    <row r="734" spans="1:11">
      <c r="A734" s="90" t="s">
        <v>5964</v>
      </c>
      <c r="B734" s="90" t="s">
        <v>5965</v>
      </c>
      <c r="C734" s="90" t="s">
        <v>16</v>
      </c>
      <c r="D734" s="90" t="str">
        <f>VLOOKUP(Tabela1[[#This Row],[Origem]],'Perguntas 1 a 24'!$J$28:$K$34,2,FALSE)</f>
        <v>Sudeste</v>
      </c>
      <c r="E734" s="90" t="s">
        <v>12073</v>
      </c>
      <c r="F734" s="91">
        <v>45886</v>
      </c>
      <c r="G734" s="92">
        <v>111256</v>
      </c>
      <c r="H734" s="90" t="s">
        <v>14</v>
      </c>
      <c r="I7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34" s="90" t="s">
        <v>5965</v>
      </c>
    </row>
    <row r="735" spans="1:11">
      <c r="A735" s="90" t="s">
        <v>4056</v>
      </c>
      <c r="B735" s="90" t="s">
        <v>4057</v>
      </c>
      <c r="C735" s="90" t="s">
        <v>8</v>
      </c>
      <c r="D735" s="90" t="str">
        <f>VLOOKUP(Tabela1[[#This Row],[Origem]],'Perguntas 1 a 24'!$J$28:$K$34,2,FALSE)</f>
        <v>Nordeste</v>
      </c>
      <c r="E735" s="90" t="s">
        <v>12074</v>
      </c>
      <c r="F735" s="91">
        <v>45887</v>
      </c>
      <c r="G735" s="92">
        <v>52565</v>
      </c>
      <c r="H735" s="90" t="s">
        <v>7</v>
      </c>
      <c r="I7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35" s="90" t="s">
        <v>4057</v>
      </c>
    </row>
    <row r="736" spans="1:11">
      <c r="A736" s="90" t="s">
        <v>9477</v>
      </c>
      <c r="B736" s="90" t="s">
        <v>9478</v>
      </c>
      <c r="C736" s="90" t="s">
        <v>6</v>
      </c>
      <c r="D736" s="90" t="str">
        <f>VLOOKUP(Tabela1[[#This Row],[Origem]],'Perguntas 1 a 24'!$J$28:$K$34,2,FALSE)</f>
        <v>Nordeste</v>
      </c>
      <c r="E736" s="90" t="s">
        <v>12075</v>
      </c>
      <c r="F736" s="91">
        <v>45887</v>
      </c>
      <c r="G736" s="92">
        <v>42811</v>
      </c>
      <c r="H736" s="90" t="s">
        <v>7</v>
      </c>
      <c r="I7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36" s="90" t="s">
        <v>9478</v>
      </c>
    </row>
    <row r="737" spans="1:11">
      <c r="A737" s="90" t="s">
        <v>10459</v>
      </c>
      <c r="B737" s="90" t="s">
        <v>10460</v>
      </c>
      <c r="C737" s="90" t="s">
        <v>6</v>
      </c>
      <c r="D737" s="90" t="str">
        <f>VLOOKUP(Tabela1[[#This Row],[Origem]],'Perguntas 1 a 24'!$J$28:$K$34,2,FALSE)</f>
        <v>Nordeste</v>
      </c>
      <c r="E737" s="90" t="s">
        <v>12076</v>
      </c>
      <c r="F737" s="91">
        <v>45887</v>
      </c>
      <c r="G737" s="92">
        <v>62448</v>
      </c>
      <c r="H737" s="90" t="s">
        <v>11</v>
      </c>
      <c r="I7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37" s="90" t="s">
        <v>10460</v>
      </c>
    </row>
    <row r="738" spans="1:11">
      <c r="A738" s="90" t="s">
        <v>11223</v>
      </c>
      <c r="B738" s="90" t="s">
        <v>11224</v>
      </c>
      <c r="C738" s="90" t="s">
        <v>15</v>
      </c>
      <c r="D738" s="90" t="str">
        <f>VLOOKUP(Tabela1[[#This Row],[Origem]],'Perguntas 1 a 24'!$J$28:$K$34,2,FALSE)</f>
        <v>Sudeste</v>
      </c>
      <c r="E738" s="90" t="s">
        <v>12077</v>
      </c>
      <c r="F738" s="91">
        <v>45887</v>
      </c>
      <c r="G738" s="92">
        <v>104427</v>
      </c>
      <c r="H738" s="90" t="s">
        <v>7</v>
      </c>
      <c r="I7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38" s="90" t="s">
        <v>11224</v>
      </c>
    </row>
    <row r="739" spans="1:11">
      <c r="A739" s="90" t="s">
        <v>6656</v>
      </c>
      <c r="B739" s="90" t="s">
        <v>6657</v>
      </c>
      <c r="C739" s="90" t="s">
        <v>12</v>
      </c>
      <c r="D739" s="90" t="str">
        <f>VLOOKUP(Tabela1[[#This Row],[Origem]],'Perguntas 1 a 24'!$J$28:$K$34,2,FALSE)</f>
        <v>Sudeste</v>
      </c>
      <c r="E739" s="90" t="s">
        <v>12078</v>
      </c>
      <c r="F739" s="91">
        <v>45889</v>
      </c>
      <c r="G739" s="92">
        <v>27810</v>
      </c>
      <c r="H739" s="90" t="s">
        <v>7</v>
      </c>
      <c r="I7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39" s="90" t="s">
        <v>6657</v>
      </c>
    </row>
    <row r="740" spans="1:11">
      <c r="A740" s="90" t="s">
        <v>7818</v>
      </c>
      <c r="B740" s="90" t="s">
        <v>7819</v>
      </c>
      <c r="C740" s="90" t="s">
        <v>10</v>
      </c>
      <c r="D740" s="90" t="str">
        <f>VLOOKUP(Tabela1[[#This Row],[Origem]],'Perguntas 1 a 24'!$J$28:$K$34,2,FALSE)</f>
        <v>Centro-Oeste</v>
      </c>
      <c r="E740" s="90" t="s">
        <v>12079</v>
      </c>
      <c r="F740" s="91">
        <v>45889</v>
      </c>
      <c r="G740" s="92">
        <v>89603</v>
      </c>
      <c r="H740" s="90" t="s">
        <v>9</v>
      </c>
      <c r="I7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40" s="90" t="s">
        <v>7819</v>
      </c>
    </row>
    <row r="741" spans="1:11">
      <c r="A741" s="90" t="s">
        <v>9855</v>
      </c>
      <c r="B741" s="90" t="s">
        <v>9856</v>
      </c>
      <c r="C741" s="90" t="s">
        <v>12</v>
      </c>
      <c r="D741" s="90" t="str">
        <f>VLOOKUP(Tabela1[[#This Row],[Origem]],'Perguntas 1 a 24'!$J$28:$K$34,2,FALSE)</f>
        <v>Sudeste</v>
      </c>
      <c r="E741" s="90" t="s">
        <v>12080</v>
      </c>
      <c r="F741" s="91">
        <v>45889</v>
      </c>
      <c r="G741" s="92">
        <v>92516</v>
      </c>
      <c r="H741" s="90" t="s">
        <v>11</v>
      </c>
      <c r="I7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41" s="90" t="s">
        <v>9856</v>
      </c>
    </row>
    <row r="742" spans="1:11">
      <c r="A742" s="90" t="s">
        <v>9997</v>
      </c>
      <c r="B742" s="90" t="s">
        <v>9998</v>
      </c>
      <c r="C742" s="90" t="s">
        <v>10</v>
      </c>
      <c r="D742" s="90" t="str">
        <f>VLOOKUP(Tabela1[[#This Row],[Origem]],'Perguntas 1 a 24'!$J$28:$K$34,2,FALSE)</f>
        <v>Centro-Oeste</v>
      </c>
      <c r="E742" s="90" t="s">
        <v>12081</v>
      </c>
      <c r="F742" s="91">
        <v>45889</v>
      </c>
      <c r="G742" s="92">
        <v>114172</v>
      </c>
      <c r="H742" s="90" t="s">
        <v>9</v>
      </c>
      <c r="I7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42" s="90" t="s">
        <v>9998</v>
      </c>
    </row>
    <row r="743" spans="1:11">
      <c r="A743" s="90" t="s">
        <v>10733</v>
      </c>
      <c r="B743" s="90" t="s">
        <v>10734</v>
      </c>
      <c r="C743" s="90" t="s">
        <v>8</v>
      </c>
      <c r="D743" s="90" t="str">
        <f>VLOOKUP(Tabela1[[#This Row],[Origem]],'Perguntas 1 a 24'!$J$28:$K$34,2,FALSE)</f>
        <v>Nordeste</v>
      </c>
      <c r="E743" s="90" t="s">
        <v>12082</v>
      </c>
      <c r="F743" s="91">
        <v>45890</v>
      </c>
      <c r="G743" s="92">
        <v>98272</v>
      </c>
      <c r="H743" s="90" t="s">
        <v>11</v>
      </c>
      <c r="I7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43" s="90" t="s">
        <v>10734</v>
      </c>
    </row>
    <row r="744" spans="1:11">
      <c r="A744" s="90" t="s">
        <v>4678</v>
      </c>
      <c r="B744" s="90" t="s">
        <v>4679</v>
      </c>
      <c r="C744" s="90" t="s">
        <v>13</v>
      </c>
      <c r="D744" s="90" t="str">
        <f>VLOOKUP(Tabela1[[#This Row],[Origem]],'Perguntas 1 a 24'!$J$28:$K$34,2,FALSE)</f>
        <v>Sudeste</v>
      </c>
      <c r="E744" s="90" t="s">
        <v>12083</v>
      </c>
      <c r="F744" s="91">
        <v>45891</v>
      </c>
      <c r="G744" s="92">
        <v>73527</v>
      </c>
      <c r="H744" s="90" t="s">
        <v>7</v>
      </c>
      <c r="I7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44" s="90" t="s">
        <v>4679</v>
      </c>
    </row>
    <row r="745" spans="1:11">
      <c r="A745" s="90" t="s">
        <v>7814</v>
      </c>
      <c r="B745" s="90" t="s">
        <v>7815</v>
      </c>
      <c r="C745" s="90" t="s">
        <v>12</v>
      </c>
      <c r="D745" s="90" t="str">
        <f>VLOOKUP(Tabela1[[#This Row],[Origem]],'Perguntas 1 a 24'!$J$28:$K$34,2,FALSE)</f>
        <v>Sudeste</v>
      </c>
      <c r="E745" s="90" t="s">
        <v>12084</v>
      </c>
      <c r="F745" s="91">
        <v>45892</v>
      </c>
      <c r="G745" s="92">
        <v>95408</v>
      </c>
      <c r="H745" s="90" t="s">
        <v>11</v>
      </c>
      <c r="I7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45" s="90" t="s">
        <v>7815</v>
      </c>
    </row>
    <row r="746" spans="1:11">
      <c r="A746" s="90" t="s">
        <v>5440</v>
      </c>
      <c r="B746" s="90" t="s">
        <v>5441</v>
      </c>
      <c r="C746" s="90" t="s">
        <v>8</v>
      </c>
      <c r="D746" s="90" t="str">
        <f>VLOOKUP(Tabela1[[#This Row],[Origem]],'Perguntas 1 a 24'!$J$28:$K$34,2,FALSE)</f>
        <v>Nordeste</v>
      </c>
      <c r="E746" s="90" t="s">
        <v>12085</v>
      </c>
      <c r="F746" s="91">
        <v>45893</v>
      </c>
      <c r="G746" s="92">
        <v>35876</v>
      </c>
      <c r="H746" s="90" t="s">
        <v>9</v>
      </c>
      <c r="I7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46" s="90" t="s">
        <v>5441</v>
      </c>
    </row>
    <row r="747" spans="1:11">
      <c r="A747" s="90" t="s">
        <v>10683</v>
      </c>
      <c r="B747" s="90" t="s">
        <v>10684</v>
      </c>
      <c r="C747" s="90" t="s">
        <v>13</v>
      </c>
      <c r="D747" s="90" t="str">
        <f>VLOOKUP(Tabela1[[#This Row],[Origem]],'Perguntas 1 a 24'!$J$28:$K$34,2,FALSE)</f>
        <v>Sudeste</v>
      </c>
      <c r="E747" s="90" t="s">
        <v>12086</v>
      </c>
      <c r="F747" s="91">
        <v>45893</v>
      </c>
      <c r="G747" s="92">
        <v>103008</v>
      </c>
      <c r="H747" s="90" t="s">
        <v>14</v>
      </c>
      <c r="I7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47" s="90" t="s">
        <v>10684</v>
      </c>
    </row>
    <row r="748" spans="1:11">
      <c r="A748" s="90" t="s">
        <v>4756</v>
      </c>
      <c r="B748" s="90" t="s">
        <v>4757</v>
      </c>
      <c r="C748" s="90" t="s">
        <v>15</v>
      </c>
      <c r="D748" s="90" t="str">
        <f>VLOOKUP(Tabela1[[#This Row],[Origem]],'Perguntas 1 a 24'!$J$28:$K$34,2,FALSE)</f>
        <v>Sudeste</v>
      </c>
      <c r="E748" s="90" t="s">
        <v>12087</v>
      </c>
      <c r="F748" s="91">
        <v>45894</v>
      </c>
      <c r="G748" s="92">
        <v>104085</v>
      </c>
      <c r="H748" s="90" t="s">
        <v>7</v>
      </c>
      <c r="I7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48" s="90" t="s">
        <v>4757</v>
      </c>
    </row>
    <row r="749" spans="1:11">
      <c r="A749" s="90" t="s">
        <v>6304</v>
      </c>
      <c r="B749" s="90" t="s">
        <v>6305</v>
      </c>
      <c r="C749" s="90" t="s">
        <v>10</v>
      </c>
      <c r="D749" s="90" t="str">
        <f>VLOOKUP(Tabela1[[#This Row],[Origem]],'Perguntas 1 a 24'!$J$28:$K$34,2,FALSE)</f>
        <v>Centro-Oeste</v>
      </c>
      <c r="E749" s="90" t="s">
        <v>12088</v>
      </c>
      <c r="F749" s="91">
        <v>45894</v>
      </c>
      <c r="G749" s="92">
        <v>27420</v>
      </c>
      <c r="H749" s="90" t="s">
        <v>7</v>
      </c>
      <c r="I7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49" s="90" t="s">
        <v>6305</v>
      </c>
    </row>
    <row r="750" spans="1:11">
      <c r="A750" s="90" t="s">
        <v>7052</v>
      </c>
      <c r="B750" s="90" t="s">
        <v>7053</v>
      </c>
      <c r="C750" s="90" t="s">
        <v>8</v>
      </c>
      <c r="D750" s="90" t="str">
        <f>VLOOKUP(Tabela1[[#This Row],[Origem]],'Perguntas 1 a 24'!$J$28:$K$34,2,FALSE)</f>
        <v>Nordeste</v>
      </c>
      <c r="E750" s="90" t="s">
        <v>12089</v>
      </c>
      <c r="F750" s="91">
        <v>45895</v>
      </c>
      <c r="G750" s="92">
        <v>115493</v>
      </c>
      <c r="H750" s="90" t="s">
        <v>11</v>
      </c>
      <c r="I7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0" s="90" t="s">
        <v>7053</v>
      </c>
    </row>
    <row r="751" spans="1:11">
      <c r="A751" s="90" t="s">
        <v>9151</v>
      </c>
      <c r="B751" s="90" t="s">
        <v>9152</v>
      </c>
      <c r="C751" s="90" t="s">
        <v>6</v>
      </c>
      <c r="D751" s="90" t="str">
        <f>VLOOKUP(Tabela1[[#This Row],[Origem]],'Perguntas 1 a 24'!$J$28:$K$34,2,FALSE)</f>
        <v>Nordeste</v>
      </c>
      <c r="E751" s="90" t="s">
        <v>12090</v>
      </c>
      <c r="F751" s="91">
        <v>45895</v>
      </c>
      <c r="G751" s="92">
        <v>52646</v>
      </c>
      <c r="H751" s="90" t="s">
        <v>11</v>
      </c>
      <c r="I7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1" s="90" t="s">
        <v>9152</v>
      </c>
    </row>
    <row r="752" spans="1:11">
      <c r="A752" s="90" t="s">
        <v>10139</v>
      </c>
      <c r="B752" s="90" t="s">
        <v>10140</v>
      </c>
      <c r="C752" s="90" t="s">
        <v>8</v>
      </c>
      <c r="D752" s="90" t="str">
        <f>VLOOKUP(Tabela1[[#This Row],[Origem]],'Perguntas 1 a 24'!$J$28:$K$34,2,FALSE)</f>
        <v>Nordeste</v>
      </c>
      <c r="E752" s="90" t="s">
        <v>12091</v>
      </c>
      <c r="F752" s="91">
        <v>45895</v>
      </c>
      <c r="G752" s="92">
        <v>105876</v>
      </c>
      <c r="H752" s="90" t="s">
        <v>9</v>
      </c>
      <c r="I7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2" s="90" t="s">
        <v>10140</v>
      </c>
    </row>
    <row r="753" spans="1:11">
      <c r="A753" s="90" t="s">
        <v>9739</v>
      </c>
      <c r="B753" s="90" t="s">
        <v>9740</v>
      </c>
      <c r="C753" s="90" t="s">
        <v>12</v>
      </c>
      <c r="D753" s="90" t="str">
        <f>VLOOKUP(Tabela1[[#This Row],[Origem]],'Perguntas 1 a 24'!$J$28:$K$34,2,FALSE)</f>
        <v>Sudeste</v>
      </c>
      <c r="E753" s="90" t="s">
        <v>12092</v>
      </c>
      <c r="F753" s="91">
        <v>45896</v>
      </c>
      <c r="G753" s="92">
        <v>89997</v>
      </c>
      <c r="H753" s="90" t="s">
        <v>9</v>
      </c>
      <c r="I7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3" s="90" t="s">
        <v>9740</v>
      </c>
    </row>
    <row r="754" spans="1:11">
      <c r="A754" s="90" t="s">
        <v>4632</v>
      </c>
      <c r="B754" s="90" t="s">
        <v>4633</v>
      </c>
      <c r="C754" s="90" t="s">
        <v>13</v>
      </c>
      <c r="D754" s="90" t="str">
        <f>VLOOKUP(Tabela1[[#This Row],[Origem]],'Perguntas 1 a 24'!$J$28:$K$34,2,FALSE)</f>
        <v>Sudeste</v>
      </c>
      <c r="E754" s="90" t="s">
        <v>12093</v>
      </c>
      <c r="F754" s="91">
        <v>45897</v>
      </c>
      <c r="G754" s="92">
        <v>23451</v>
      </c>
      <c r="H754" s="90" t="s">
        <v>11</v>
      </c>
      <c r="I7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54" s="90" t="s">
        <v>4633</v>
      </c>
    </row>
    <row r="755" spans="1:11">
      <c r="A755" s="90" t="s">
        <v>7162</v>
      </c>
      <c r="B755" s="90" t="s">
        <v>7163</v>
      </c>
      <c r="C755" s="90" t="s">
        <v>15</v>
      </c>
      <c r="D755" s="90" t="str">
        <f>VLOOKUP(Tabela1[[#This Row],[Origem]],'Perguntas 1 a 24'!$J$28:$K$34,2,FALSE)</f>
        <v>Sudeste</v>
      </c>
      <c r="E755" s="90" t="s">
        <v>12094</v>
      </c>
      <c r="F755" s="91">
        <v>45897</v>
      </c>
      <c r="G755" s="92">
        <v>70746</v>
      </c>
      <c r="H755" s="90" t="s">
        <v>7</v>
      </c>
      <c r="I7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5" s="90" t="s">
        <v>7163</v>
      </c>
    </row>
    <row r="756" spans="1:11">
      <c r="A756" s="90" t="s">
        <v>5508</v>
      </c>
      <c r="B756" s="90" t="s">
        <v>5509</v>
      </c>
      <c r="C756" s="90" t="s">
        <v>8</v>
      </c>
      <c r="D756" s="90" t="str">
        <f>VLOOKUP(Tabela1[[#This Row],[Origem]],'Perguntas 1 a 24'!$J$28:$K$34,2,FALSE)</f>
        <v>Nordeste</v>
      </c>
      <c r="E756" s="90" t="s">
        <v>12095</v>
      </c>
      <c r="F756" s="91">
        <v>45898</v>
      </c>
      <c r="G756" s="92">
        <v>21570</v>
      </c>
      <c r="H756" s="90" t="s">
        <v>11</v>
      </c>
      <c r="I7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56" s="90" t="s">
        <v>5509</v>
      </c>
    </row>
    <row r="757" spans="1:11">
      <c r="A757" s="90" t="s">
        <v>11062</v>
      </c>
      <c r="B757" s="90" t="s">
        <v>11063</v>
      </c>
      <c r="C757" s="90" t="s">
        <v>10</v>
      </c>
      <c r="D757" s="90" t="str">
        <f>VLOOKUP(Tabela1[[#This Row],[Origem]],'Perguntas 1 a 24'!$J$28:$K$34,2,FALSE)</f>
        <v>Centro-Oeste</v>
      </c>
      <c r="E757" s="90" t="s">
        <v>12096</v>
      </c>
      <c r="F757" s="91">
        <v>45898</v>
      </c>
      <c r="G757" s="92">
        <v>113147</v>
      </c>
      <c r="H757" s="90" t="s">
        <v>9</v>
      </c>
      <c r="I7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7" s="90" t="s">
        <v>11063</v>
      </c>
    </row>
    <row r="758" spans="1:11">
      <c r="A758" s="90" t="s">
        <v>9163</v>
      </c>
      <c r="B758" s="90" t="s">
        <v>9164</v>
      </c>
      <c r="C758" s="90" t="s">
        <v>16</v>
      </c>
      <c r="D758" s="90" t="str">
        <f>VLOOKUP(Tabela1[[#This Row],[Origem]],'Perguntas 1 a 24'!$J$28:$K$34,2,FALSE)</f>
        <v>Sudeste</v>
      </c>
      <c r="E758" s="90" t="s">
        <v>12097</v>
      </c>
      <c r="F758" s="91">
        <v>45899</v>
      </c>
      <c r="G758" s="92">
        <v>116660</v>
      </c>
      <c r="H758" s="90" t="s">
        <v>7</v>
      </c>
      <c r="I7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8" s="90" t="s">
        <v>9164</v>
      </c>
    </row>
    <row r="759" spans="1:11">
      <c r="A759" s="90" t="s">
        <v>11048</v>
      </c>
      <c r="B759" s="90" t="s">
        <v>11049</v>
      </c>
      <c r="C759" s="90" t="s">
        <v>15</v>
      </c>
      <c r="D759" s="90" t="str">
        <f>VLOOKUP(Tabela1[[#This Row],[Origem]],'Perguntas 1 a 24'!$J$28:$K$34,2,FALSE)</f>
        <v>Sudeste</v>
      </c>
      <c r="E759" s="90" t="s">
        <v>12098</v>
      </c>
      <c r="F759" s="91">
        <v>45899</v>
      </c>
      <c r="G759" s="92">
        <v>60435</v>
      </c>
      <c r="H759" s="90" t="s">
        <v>11</v>
      </c>
      <c r="I7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59" s="90" t="s">
        <v>11049</v>
      </c>
    </row>
    <row r="760" spans="1:11">
      <c r="A760" s="90" t="s">
        <v>3697</v>
      </c>
      <c r="B760" s="90" t="s">
        <v>3698</v>
      </c>
      <c r="C760" s="90" t="s">
        <v>6</v>
      </c>
      <c r="D760" s="90" t="str">
        <f>VLOOKUP(Tabela1[[#This Row],[Origem]],'Perguntas 1 a 24'!$J$28:$K$34,2,FALSE)</f>
        <v>Nordeste</v>
      </c>
      <c r="E760" s="90" t="s">
        <v>12099</v>
      </c>
      <c r="F760" s="91">
        <v>45902</v>
      </c>
      <c r="G760" s="92">
        <v>74912</v>
      </c>
      <c r="H760" s="90" t="s">
        <v>11</v>
      </c>
      <c r="I7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60" s="90" t="s">
        <v>3698</v>
      </c>
    </row>
    <row r="761" spans="1:11">
      <c r="A761" s="90" t="s">
        <v>4397</v>
      </c>
      <c r="B761" s="90" t="s">
        <v>4398</v>
      </c>
      <c r="C761" s="90" t="s">
        <v>10</v>
      </c>
      <c r="D761" s="90" t="str">
        <f>VLOOKUP(Tabela1[[#This Row],[Origem]],'Perguntas 1 a 24'!$J$28:$K$34,2,FALSE)</f>
        <v>Centro-Oeste</v>
      </c>
      <c r="E761" s="90" t="s">
        <v>12100</v>
      </c>
      <c r="F761" s="91">
        <v>45902</v>
      </c>
      <c r="G761" s="92">
        <v>83912</v>
      </c>
      <c r="H761" s="90" t="s">
        <v>14</v>
      </c>
      <c r="I7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61" s="90" t="s">
        <v>4398</v>
      </c>
    </row>
    <row r="762" spans="1:11">
      <c r="A762" s="90" t="s">
        <v>5880</v>
      </c>
      <c r="B762" s="90" t="s">
        <v>5881</v>
      </c>
      <c r="C762" s="90" t="s">
        <v>15</v>
      </c>
      <c r="D762" s="90" t="str">
        <f>VLOOKUP(Tabela1[[#This Row],[Origem]],'Perguntas 1 a 24'!$J$28:$K$34,2,FALSE)</f>
        <v>Sudeste</v>
      </c>
      <c r="E762" s="90" t="s">
        <v>12101</v>
      </c>
      <c r="F762" s="91">
        <v>45902</v>
      </c>
      <c r="G762" s="92">
        <v>31802</v>
      </c>
      <c r="H762" s="90" t="s">
        <v>11</v>
      </c>
      <c r="I7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62" s="90" t="s">
        <v>5881</v>
      </c>
    </row>
    <row r="763" spans="1:11">
      <c r="A763" s="90" t="s">
        <v>7718</v>
      </c>
      <c r="B763" s="90" t="s">
        <v>7719</v>
      </c>
      <c r="C763" s="90" t="s">
        <v>16</v>
      </c>
      <c r="D763" s="90" t="str">
        <f>VLOOKUP(Tabela1[[#This Row],[Origem]],'Perguntas 1 a 24'!$J$28:$K$34,2,FALSE)</f>
        <v>Sudeste</v>
      </c>
      <c r="E763" s="90" t="s">
        <v>12102</v>
      </c>
      <c r="F763" s="91">
        <v>45902</v>
      </c>
      <c r="G763" s="92">
        <v>97746</v>
      </c>
      <c r="H763" s="90" t="s">
        <v>7</v>
      </c>
      <c r="I7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63" s="90" t="s">
        <v>7719</v>
      </c>
    </row>
    <row r="764" spans="1:11">
      <c r="A764" s="90" t="s">
        <v>7768</v>
      </c>
      <c r="B764" s="90" t="s">
        <v>7769</v>
      </c>
      <c r="C764" s="90" t="s">
        <v>6</v>
      </c>
      <c r="D764" s="90" t="str">
        <f>VLOOKUP(Tabela1[[#This Row],[Origem]],'Perguntas 1 a 24'!$J$28:$K$34,2,FALSE)</f>
        <v>Nordeste</v>
      </c>
      <c r="E764" s="90" t="s">
        <v>12103</v>
      </c>
      <c r="F764" s="91">
        <v>45902</v>
      </c>
      <c r="G764" s="92">
        <v>31118</v>
      </c>
      <c r="H764" s="90" t="s">
        <v>14</v>
      </c>
      <c r="I7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64" s="90" t="s">
        <v>7769</v>
      </c>
    </row>
    <row r="765" spans="1:11">
      <c r="A765" s="90" t="s">
        <v>5912</v>
      </c>
      <c r="B765" s="90" t="s">
        <v>5913</v>
      </c>
      <c r="C765" s="90" t="s">
        <v>10</v>
      </c>
      <c r="D765" s="90" t="str">
        <f>VLOOKUP(Tabela1[[#This Row],[Origem]],'Perguntas 1 a 24'!$J$28:$K$34,2,FALSE)</f>
        <v>Centro-Oeste</v>
      </c>
      <c r="E765" s="90" t="s">
        <v>12104</v>
      </c>
      <c r="F765" s="91">
        <v>45903</v>
      </c>
      <c r="G765" s="92">
        <v>73024</v>
      </c>
      <c r="H765" s="90" t="s">
        <v>9</v>
      </c>
      <c r="I7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65" s="90" t="s">
        <v>5913</v>
      </c>
    </row>
    <row r="766" spans="1:11">
      <c r="A766" s="90" t="s">
        <v>8667</v>
      </c>
      <c r="B766" s="90" t="s">
        <v>8668</v>
      </c>
      <c r="C766" s="90" t="s">
        <v>13</v>
      </c>
      <c r="D766" s="90" t="str">
        <f>VLOOKUP(Tabela1[[#This Row],[Origem]],'Perguntas 1 a 24'!$J$28:$K$34,2,FALSE)</f>
        <v>Sudeste</v>
      </c>
      <c r="E766" s="90" t="s">
        <v>12105</v>
      </c>
      <c r="F766" s="91">
        <v>45903</v>
      </c>
      <c r="G766" s="92">
        <v>32464</v>
      </c>
      <c r="H766" s="90" t="s">
        <v>11</v>
      </c>
      <c r="I7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66" s="90" t="s">
        <v>8668</v>
      </c>
    </row>
    <row r="767" spans="1:11">
      <c r="A767" s="90" t="s">
        <v>9399</v>
      </c>
      <c r="B767" s="90" t="s">
        <v>9400</v>
      </c>
      <c r="C767" s="90" t="s">
        <v>12</v>
      </c>
      <c r="D767" s="90" t="str">
        <f>VLOOKUP(Tabela1[[#This Row],[Origem]],'Perguntas 1 a 24'!$J$28:$K$34,2,FALSE)</f>
        <v>Sudeste</v>
      </c>
      <c r="E767" s="90" t="s">
        <v>12106</v>
      </c>
      <c r="F767" s="91">
        <v>45903</v>
      </c>
      <c r="G767" s="92">
        <v>31711</v>
      </c>
      <c r="H767" s="90" t="s">
        <v>11</v>
      </c>
      <c r="I7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67" s="90" t="s">
        <v>9400</v>
      </c>
    </row>
    <row r="768" spans="1:11">
      <c r="A768" s="90" t="s">
        <v>5618</v>
      </c>
      <c r="B768" s="90" t="s">
        <v>5619</v>
      </c>
      <c r="C768" s="90" t="s">
        <v>12</v>
      </c>
      <c r="D768" s="90" t="str">
        <f>VLOOKUP(Tabela1[[#This Row],[Origem]],'Perguntas 1 a 24'!$J$28:$K$34,2,FALSE)</f>
        <v>Sudeste</v>
      </c>
      <c r="E768" s="90" t="s">
        <v>12107</v>
      </c>
      <c r="F768" s="91">
        <v>45904</v>
      </c>
      <c r="G768" s="92">
        <v>99474</v>
      </c>
      <c r="H768" s="90" t="s">
        <v>9</v>
      </c>
      <c r="I7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68" s="90" t="s">
        <v>5619</v>
      </c>
    </row>
    <row r="769" spans="1:11">
      <c r="A769" s="90" t="s">
        <v>5966</v>
      </c>
      <c r="B769" s="90" t="s">
        <v>5967</v>
      </c>
      <c r="C769" s="90" t="s">
        <v>16</v>
      </c>
      <c r="D769" s="90" t="str">
        <f>VLOOKUP(Tabela1[[#This Row],[Origem]],'Perguntas 1 a 24'!$J$28:$K$34,2,FALSE)</f>
        <v>Sudeste</v>
      </c>
      <c r="E769" s="90" t="s">
        <v>12108</v>
      </c>
      <c r="F769" s="91">
        <v>45904</v>
      </c>
      <c r="G769" s="92">
        <v>67848</v>
      </c>
      <c r="H769" s="90" t="s">
        <v>7</v>
      </c>
      <c r="I7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69" s="90" t="s">
        <v>5967</v>
      </c>
    </row>
    <row r="770" spans="1:11">
      <c r="A770" s="90" t="s">
        <v>5996</v>
      </c>
      <c r="B770" s="90" t="s">
        <v>5997</v>
      </c>
      <c r="C770" s="90" t="s">
        <v>10</v>
      </c>
      <c r="D770" s="90" t="str">
        <f>VLOOKUP(Tabela1[[#This Row],[Origem]],'Perguntas 1 a 24'!$J$28:$K$34,2,FALSE)</f>
        <v>Centro-Oeste</v>
      </c>
      <c r="E770" s="90" t="s">
        <v>12109</v>
      </c>
      <c r="F770" s="91">
        <v>45904</v>
      </c>
      <c r="G770" s="92">
        <v>111902</v>
      </c>
      <c r="H770" s="90" t="s">
        <v>14</v>
      </c>
      <c r="I7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0" s="90" t="s">
        <v>5997</v>
      </c>
    </row>
    <row r="771" spans="1:11">
      <c r="A771" s="90" t="s">
        <v>9325</v>
      </c>
      <c r="B771" s="90" t="s">
        <v>9326</v>
      </c>
      <c r="C771" s="90" t="s">
        <v>16</v>
      </c>
      <c r="D771" s="90" t="str">
        <f>VLOOKUP(Tabela1[[#This Row],[Origem]],'Perguntas 1 a 24'!$J$28:$K$34,2,FALSE)</f>
        <v>Sudeste</v>
      </c>
      <c r="E771" s="90" t="s">
        <v>12110</v>
      </c>
      <c r="F771" s="91">
        <v>45904</v>
      </c>
      <c r="G771" s="92">
        <v>53394</v>
      </c>
      <c r="H771" s="90" t="s">
        <v>14</v>
      </c>
      <c r="I7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1" s="90" t="s">
        <v>9326</v>
      </c>
    </row>
    <row r="772" spans="1:11">
      <c r="A772" s="90" t="s">
        <v>10263</v>
      </c>
      <c r="B772" s="90" t="s">
        <v>10264</v>
      </c>
      <c r="C772" s="90" t="s">
        <v>16</v>
      </c>
      <c r="D772" s="90" t="str">
        <f>VLOOKUP(Tabela1[[#This Row],[Origem]],'Perguntas 1 a 24'!$J$28:$K$34,2,FALSE)</f>
        <v>Sudeste</v>
      </c>
      <c r="E772" s="90" t="s">
        <v>12111</v>
      </c>
      <c r="F772" s="91">
        <v>45904</v>
      </c>
      <c r="G772" s="92">
        <v>113149</v>
      </c>
      <c r="H772" s="90" t="s">
        <v>9</v>
      </c>
      <c r="I7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2" s="90" t="s">
        <v>10264</v>
      </c>
    </row>
    <row r="773" spans="1:11">
      <c r="A773" s="90" t="s">
        <v>5270</v>
      </c>
      <c r="B773" s="90" t="s">
        <v>5271</v>
      </c>
      <c r="C773" s="90" t="s">
        <v>6</v>
      </c>
      <c r="D773" s="90" t="str">
        <f>VLOOKUP(Tabela1[[#This Row],[Origem]],'Perguntas 1 a 24'!$J$28:$K$34,2,FALSE)</f>
        <v>Nordeste</v>
      </c>
      <c r="E773" s="90" t="s">
        <v>12112</v>
      </c>
      <c r="F773" s="91">
        <v>45905</v>
      </c>
      <c r="G773" s="92">
        <v>90808</v>
      </c>
      <c r="H773" s="90" t="s">
        <v>7</v>
      </c>
      <c r="I7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3" s="90" t="s">
        <v>5271</v>
      </c>
    </row>
    <row r="774" spans="1:11">
      <c r="A774" s="90" t="s">
        <v>11191</v>
      </c>
      <c r="B774" s="90" t="s">
        <v>11192</v>
      </c>
      <c r="C774" s="90" t="s">
        <v>13</v>
      </c>
      <c r="D774" s="90" t="str">
        <f>VLOOKUP(Tabela1[[#This Row],[Origem]],'Perguntas 1 a 24'!$J$28:$K$34,2,FALSE)</f>
        <v>Sudeste</v>
      </c>
      <c r="E774" s="90" t="s">
        <v>12113</v>
      </c>
      <c r="F774" s="91">
        <v>45905</v>
      </c>
      <c r="G774" s="92">
        <v>64063</v>
      </c>
      <c r="H774" s="90" t="s">
        <v>14</v>
      </c>
      <c r="I7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4" s="90" t="s">
        <v>11192</v>
      </c>
    </row>
    <row r="775" spans="1:11">
      <c r="A775" s="90" t="s">
        <v>5682</v>
      </c>
      <c r="B775" s="90" t="s">
        <v>5683</v>
      </c>
      <c r="C775" s="90" t="s">
        <v>8</v>
      </c>
      <c r="D775" s="90" t="str">
        <f>VLOOKUP(Tabela1[[#This Row],[Origem]],'Perguntas 1 a 24'!$J$28:$K$34,2,FALSE)</f>
        <v>Nordeste</v>
      </c>
      <c r="E775" s="90" t="s">
        <v>12114</v>
      </c>
      <c r="F775" s="91">
        <v>45906</v>
      </c>
      <c r="G775" s="92">
        <v>67440</v>
      </c>
      <c r="H775" s="90" t="s">
        <v>7</v>
      </c>
      <c r="I7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5" s="90" t="s">
        <v>5683</v>
      </c>
    </row>
    <row r="776" spans="1:11">
      <c r="A776" s="90" t="s">
        <v>8398</v>
      </c>
      <c r="B776" s="90" t="s">
        <v>8399</v>
      </c>
      <c r="C776" s="90" t="s">
        <v>6</v>
      </c>
      <c r="D776" s="90" t="str">
        <f>VLOOKUP(Tabela1[[#This Row],[Origem]],'Perguntas 1 a 24'!$J$28:$K$34,2,FALSE)</f>
        <v>Nordeste</v>
      </c>
      <c r="E776" s="90" t="s">
        <v>12115</v>
      </c>
      <c r="F776" s="91">
        <v>45906</v>
      </c>
      <c r="G776" s="92">
        <v>113492</v>
      </c>
      <c r="H776" s="90" t="s">
        <v>11</v>
      </c>
      <c r="I7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6" s="90" t="s">
        <v>8399</v>
      </c>
    </row>
    <row r="777" spans="1:11">
      <c r="A777" s="90" t="s">
        <v>9483</v>
      </c>
      <c r="B777" s="90" t="s">
        <v>9484</v>
      </c>
      <c r="C777" s="90" t="s">
        <v>6</v>
      </c>
      <c r="D777" s="90" t="str">
        <f>VLOOKUP(Tabela1[[#This Row],[Origem]],'Perguntas 1 a 24'!$J$28:$K$34,2,FALSE)</f>
        <v>Nordeste</v>
      </c>
      <c r="E777" s="90" t="s">
        <v>12116</v>
      </c>
      <c r="F777" s="91">
        <v>45906</v>
      </c>
      <c r="G777" s="92">
        <v>62789</v>
      </c>
      <c r="H777" s="90" t="s">
        <v>14</v>
      </c>
      <c r="I7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7" s="90" t="s">
        <v>9484</v>
      </c>
    </row>
    <row r="778" spans="1:11">
      <c r="A778" s="90" t="s">
        <v>8733</v>
      </c>
      <c r="B778" s="90" t="s">
        <v>8734</v>
      </c>
      <c r="C778" s="90" t="s">
        <v>6</v>
      </c>
      <c r="D778" s="90" t="str">
        <f>VLOOKUP(Tabela1[[#This Row],[Origem]],'Perguntas 1 a 24'!$J$28:$K$34,2,FALSE)</f>
        <v>Nordeste</v>
      </c>
      <c r="E778" s="90" t="s">
        <v>12117</v>
      </c>
      <c r="F778" s="91">
        <v>45907</v>
      </c>
      <c r="G778" s="92">
        <v>91744</v>
      </c>
      <c r="H778" s="90" t="s">
        <v>9</v>
      </c>
      <c r="I7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8" s="90" t="s">
        <v>8734</v>
      </c>
    </row>
    <row r="779" spans="1:11">
      <c r="A779" s="90" t="s">
        <v>10141</v>
      </c>
      <c r="B779" s="90" t="s">
        <v>10142</v>
      </c>
      <c r="C779" s="90" t="s">
        <v>16</v>
      </c>
      <c r="D779" s="90" t="str">
        <f>VLOOKUP(Tabela1[[#This Row],[Origem]],'Perguntas 1 a 24'!$J$28:$K$34,2,FALSE)</f>
        <v>Sudeste</v>
      </c>
      <c r="E779" s="90" t="s">
        <v>12118</v>
      </c>
      <c r="F779" s="91">
        <v>45907</v>
      </c>
      <c r="G779" s="92">
        <v>53370</v>
      </c>
      <c r="H779" s="90" t="s">
        <v>7</v>
      </c>
      <c r="I7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79" s="90" t="s">
        <v>10142</v>
      </c>
    </row>
    <row r="780" spans="1:11">
      <c r="A780" s="90" t="s">
        <v>10749</v>
      </c>
      <c r="B780" s="90" t="s">
        <v>10750</v>
      </c>
      <c r="C780" s="90" t="s">
        <v>10</v>
      </c>
      <c r="D780" s="90" t="str">
        <f>VLOOKUP(Tabela1[[#This Row],[Origem]],'Perguntas 1 a 24'!$J$28:$K$34,2,FALSE)</f>
        <v>Centro-Oeste</v>
      </c>
      <c r="E780" s="90" t="s">
        <v>12119</v>
      </c>
      <c r="F780" s="91">
        <v>45908</v>
      </c>
      <c r="G780" s="92">
        <v>81415</v>
      </c>
      <c r="H780" s="90" t="s">
        <v>9</v>
      </c>
      <c r="I7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0" s="90" t="s">
        <v>10750</v>
      </c>
    </row>
    <row r="781" spans="1:11">
      <c r="A781" s="90" t="s">
        <v>10289</v>
      </c>
      <c r="B781" s="90" t="s">
        <v>10290</v>
      </c>
      <c r="C781" s="90" t="s">
        <v>6</v>
      </c>
      <c r="D781" s="90" t="str">
        <f>VLOOKUP(Tabela1[[#This Row],[Origem]],'Perguntas 1 a 24'!$J$28:$K$34,2,FALSE)</f>
        <v>Nordeste</v>
      </c>
      <c r="E781" s="90" t="s">
        <v>12120</v>
      </c>
      <c r="F781" s="91">
        <v>45909</v>
      </c>
      <c r="G781" s="92">
        <v>107233</v>
      </c>
      <c r="H781" s="90" t="s">
        <v>11</v>
      </c>
      <c r="I7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1" s="90" t="s">
        <v>10290</v>
      </c>
    </row>
    <row r="782" spans="1:11">
      <c r="A782" s="90" t="s">
        <v>4520</v>
      </c>
      <c r="B782" s="90" t="s">
        <v>4521</v>
      </c>
      <c r="C782" s="90" t="s">
        <v>13</v>
      </c>
      <c r="D782" s="90" t="str">
        <f>VLOOKUP(Tabela1[[#This Row],[Origem]],'Perguntas 1 a 24'!$J$28:$K$34,2,FALSE)</f>
        <v>Sudeste</v>
      </c>
      <c r="E782" s="90" t="s">
        <v>12121</v>
      </c>
      <c r="F782" s="91">
        <v>45910</v>
      </c>
      <c r="G782" s="92">
        <v>105745</v>
      </c>
      <c r="H782" s="90" t="s">
        <v>14</v>
      </c>
      <c r="I7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2" s="90" t="s">
        <v>4521</v>
      </c>
    </row>
    <row r="783" spans="1:11">
      <c r="A783" s="90" t="s">
        <v>5224</v>
      </c>
      <c r="B783" s="90" t="s">
        <v>5225</v>
      </c>
      <c r="C783" s="90" t="s">
        <v>16</v>
      </c>
      <c r="D783" s="90" t="str">
        <f>VLOOKUP(Tabela1[[#This Row],[Origem]],'Perguntas 1 a 24'!$J$28:$K$34,2,FALSE)</f>
        <v>Sudeste</v>
      </c>
      <c r="E783" s="90" t="s">
        <v>12122</v>
      </c>
      <c r="F783" s="91">
        <v>45910</v>
      </c>
      <c r="G783" s="92">
        <v>72746</v>
      </c>
      <c r="H783" s="90" t="s">
        <v>11</v>
      </c>
      <c r="I7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3" s="90" t="s">
        <v>5225</v>
      </c>
    </row>
    <row r="784" spans="1:11">
      <c r="A784" s="90" t="s">
        <v>6222</v>
      </c>
      <c r="B784" s="90" t="s">
        <v>6223</v>
      </c>
      <c r="C784" s="90" t="s">
        <v>6</v>
      </c>
      <c r="D784" s="90" t="str">
        <f>VLOOKUP(Tabela1[[#This Row],[Origem]],'Perguntas 1 a 24'!$J$28:$K$34,2,FALSE)</f>
        <v>Nordeste</v>
      </c>
      <c r="E784" s="90" t="s">
        <v>12123</v>
      </c>
      <c r="F784" s="91">
        <v>45910</v>
      </c>
      <c r="G784" s="92">
        <v>107497</v>
      </c>
      <c r="H784" s="90" t="s">
        <v>14</v>
      </c>
      <c r="I7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4" s="90" t="s">
        <v>6223</v>
      </c>
    </row>
    <row r="785" spans="1:11">
      <c r="A785" s="90" t="s">
        <v>10617</v>
      </c>
      <c r="B785" s="90" t="s">
        <v>10618</v>
      </c>
      <c r="C785" s="90" t="s">
        <v>8</v>
      </c>
      <c r="D785" s="90" t="str">
        <f>VLOOKUP(Tabela1[[#This Row],[Origem]],'Perguntas 1 a 24'!$J$28:$K$34,2,FALSE)</f>
        <v>Nordeste</v>
      </c>
      <c r="E785" s="90" t="s">
        <v>12124</v>
      </c>
      <c r="F785" s="91">
        <v>45910</v>
      </c>
      <c r="G785" s="92">
        <v>106677</v>
      </c>
      <c r="H785" s="90" t="s">
        <v>7</v>
      </c>
      <c r="I7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5" s="90" t="s">
        <v>10618</v>
      </c>
    </row>
    <row r="786" spans="1:11">
      <c r="A786" s="90" t="s">
        <v>4245</v>
      </c>
      <c r="B786" s="90" t="s">
        <v>4246</v>
      </c>
      <c r="C786" s="90" t="s">
        <v>6</v>
      </c>
      <c r="D786" s="90" t="str">
        <f>VLOOKUP(Tabela1[[#This Row],[Origem]],'Perguntas 1 a 24'!$J$28:$K$34,2,FALSE)</f>
        <v>Nordeste</v>
      </c>
      <c r="E786" s="90" t="s">
        <v>12125</v>
      </c>
      <c r="F786" s="91">
        <v>45911</v>
      </c>
      <c r="G786" s="92">
        <v>65028</v>
      </c>
      <c r="H786" s="90" t="s">
        <v>7</v>
      </c>
      <c r="I7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6" s="90" t="s">
        <v>4246</v>
      </c>
    </row>
    <row r="787" spans="1:11">
      <c r="A787" s="90" t="s">
        <v>4590</v>
      </c>
      <c r="B787" s="90" t="s">
        <v>4591</v>
      </c>
      <c r="C787" s="90" t="s">
        <v>6</v>
      </c>
      <c r="D787" s="90" t="str">
        <f>VLOOKUP(Tabela1[[#This Row],[Origem]],'Perguntas 1 a 24'!$J$28:$K$34,2,FALSE)</f>
        <v>Nordeste</v>
      </c>
      <c r="E787" s="90" t="s">
        <v>12126</v>
      </c>
      <c r="F787" s="91">
        <v>45911</v>
      </c>
      <c r="G787" s="92">
        <v>55247</v>
      </c>
      <c r="H787" s="90" t="s">
        <v>9</v>
      </c>
      <c r="I7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7" s="90" t="s">
        <v>4591</v>
      </c>
    </row>
    <row r="788" spans="1:11">
      <c r="A788" s="90" t="s">
        <v>7896</v>
      </c>
      <c r="B788" s="90" t="s">
        <v>7897</v>
      </c>
      <c r="C788" s="90" t="s">
        <v>12</v>
      </c>
      <c r="D788" s="90" t="str">
        <f>VLOOKUP(Tabela1[[#This Row],[Origem]],'Perguntas 1 a 24'!$J$28:$K$34,2,FALSE)</f>
        <v>Sudeste</v>
      </c>
      <c r="E788" s="90" t="s">
        <v>12127</v>
      </c>
      <c r="F788" s="91">
        <v>45911</v>
      </c>
      <c r="G788" s="92">
        <v>109413</v>
      </c>
      <c r="H788" s="90" t="s">
        <v>7</v>
      </c>
      <c r="I7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88" s="90" t="s">
        <v>7897</v>
      </c>
    </row>
    <row r="789" spans="1:11">
      <c r="A789" s="90" t="s">
        <v>3746</v>
      </c>
      <c r="B789" s="90" t="s">
        <v>3747</v>
      </c>
      <c r="C789" s="90" t="s">
        <v>6</v>
      </c>
      <c r="D789" s="90" t="str">
        <f>VLOOKUP(Tabela1[[#This Row],[Origem]],'Perguntas 1 a 24'!$J$28:$K$34,2,FALSE)</f>
        <v>Nordeste</v>
      </c>
      <c r="E789" s="90" t="s">
        <v>12128</v>
      </c>
      <c r="F789" s="91">
        <v>45912</v>
      </c>
      <c r="G789" s="92">
        <v>29931</v>
      </c>
      <c r="H789" s="90" t="s">
        <v>14</v>
      </c>
      <c r="I7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89" s="90" t="s">
        <v>3747</v>
      </c>
    </row>
    <row r="790" spans="1:11">
      <c r="A790" s="90" t="s">
        <v>6754</v>
      </c>
      <c r="B790" s="90" t="s">
        <v>6755</v>
      </c>
      <c r="C790" s="90" t="s">
        <v>10</v>
      </c>
      <c r="D790" s="90" t="str">
        <f>VLOOKUP(Tabela1[[#This Row],[Origem]],'Perguntas 1 a 24'!$J$28:$K$34,2,FALSE)</f>
        <v>Centro-Oeste</v>
      </c>
      <c r="E790" s="90" t="s">
        <v>12129</v>
      </c>
      <c r="F790" s="91">
        <v>45912</v>
      </c>
      <c r="G790" s="92">
        <v>56914</v>
      </c>
      <c r="H790" s="90" t="s">
        <v>7</v>
      </c>
      <c r="I7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0" s="90" t="s">
        <v>6755</v>
      </c>
    </row>
    <row r="791" spans="1:11">
      <c r="A791" s="90" t="s">
        <v>9305</v>
      </c>
      <c r="B791" s="90" t="s">
        <v>9306</v>
      </c>
      <c r="C791" s="90" t="s">
        <v>8</v>
      </c>
      <c r="D791" s="90" t="str">
        <f>VLOOKUP(Tabela1[[#This Row],[Origem]],'Perguntas 1 a 24'!$J$28:$K$34,2,FALSE)</f>
        <v>Nordeste</v>
      </c>
      <c r="E791" s="90" t="s">
        <v>12130</v>
      </c>
      <c r="F791" s="91">
        <v>45914</v>
      </c>
      <c r="G791" s="92">
        <v>45117</v>
      </c>
      <c r="H791" s="90" t="s">
        <v>9</v>
      </c>
      <c r="I7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91" s="90" t="s">
        <v>9306</v>
      </c>
    </row>
    <row r="792" spans="1:11">
      <c r="A792" s="90" t="s">
        <v>4233</v>
      </c>
      <c r="B792" s="90" t="s">
        <v>4234</v>
      </c>
      <c r="C792" s="90" t="s">
        <v>10</v>
      </c>
      <c r="D792" s="90" t="str">
        <f>VLOOKUP(Tabela1[[#This Row],[Origem]],'Perguntas 1 a 24'!$J$28:$K$34,2,FALSE)</f>
        <v>Centro-Oeste</v>
      </c>
      <c r="E792" s="90" t="s">
        <v>12131</v>
      </c>
      <c r="F792" s="91">
        <v>45915</v>
      </c>
      <c r="G792" s="92">
        <v>94775</v>
      </c>
      <c r="H792" s="90" t="s">
        <v>11</v>
      </c>
      <c r="I7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2" s="90" t="s">
        <v>4234</v>
      </c>
    </row>
    <row r="793" spans="1:11">
      <c r="A793" s="90" t="s">
        <v>9243</v>
      </c>
      <c r="B793" s="90" t="s">
        <v>9244</v>
      </c>
      <c r="C793" s="90" t="s">
        <v>13</v>
      </c>
      <c r="D793" s="90" t="str">
        <f>VLOOKUP(Tabela1[[#This Row],[Origem]],'Perguntas 1 a 24'!$J$28:$K$34,2,FALSE)</f>
        <v>Sudeste</v>
      </c>
      <c r="E793" s="90" t="s">
        <v>12132</v>
      </c>
      <c r="F793" s="91">
        <v>45915</v>
      </c>
      <c r="G793" s="92">
        <v>21118</v>
      </c>
      <c r="H793" s="90" t="s">
        <v>9</v>
      </c>
      <c r="I7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793" s="90" t="s">
        <v>9244</v>
      </c>
    </row>
    <row r="794" spans="1:11">
      <c r="A794" s="90" t="s">
        <v>7716</v>
      </c>
      <c r="B794" s="90" t="s">
        <v>7717</v>
      </c>
      <c r="C794" s="90" t="s">
        <v>16</v>
      </c>
      <c r="D794" s="90" t="str">
        <f>VLOOKUP(Tabela1[[#This Row],[Origem]],'Perguntas 1 a 24'!$J$28:$K$34,2,FALSE)</f>
        <v>Sudeste</v>
      </c>
      <c r="E794" s="90" t="s">
        <v>12133</v>
      </c>
      <c r="F794" s="91">
        <v>45916</v>
      </c>
      <c r="G794" s="92">
        <v>85897</v>
      </c>
      <c r="H794" s="90" t="s">
        <v>9</v>
      </c>
      <c r="I7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4" s="90" t="s">
        <v>7717</v>
      </c>
    </row>
    <row r="795" spans="1:11">
      <c r="A795" s="90" t="s">
        <v>7154</v>
      </c>
      <c r="B795" s="90" t="s">
        <v>7155</v>
      </c>
      <c r="C795" s="90" t="s">
        <v>16</v>
      </c>
      <c r="D795" s="90" t="str">
        <f>VLOOKUP(Tabela1[[#This Row],[Origem]],'Perguntas 1 a 24'!$J$28:$K$34,2,FALSE)</f>
        <v>Sudeste</v>
      </c>
      <c r="E795" s="90" t="s">
        <v>12134</v>
      </c>
      <c r="F795" s="91">
        <v>45917</v>
      </c>
      <c r="G795" s="92">
        <v>57509</v>
      </c>
      <c r="H795" s="90" t="s">
        <v>7</v>
      </c>
      <c r="I7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5" s="90" t="s">
        <v>7155</v>
      </c>
    </row>
    <row r="796" spans="1:11">
      <c r="A796" s="90" t="s">
        <v>7292</v>
      </c>
      <c r="B796" s="90" t="s">
        <v>7293</v>
      </c>
      <c r="C796" s="90" t="s">
        <v>6</v>
      </c>
      <c r="D796" s="90" t="str">
        <f>VLOOKUP(Tabela1[[#This Row],[Origem]],'Perguntas 1 a 24'!$J$28:$K$34,2,FALSE)</f>
        <v>Nordeste</v>
      </c>
      <c r="E796" s="90" t="s">
        <v>12135</v>
      </c>
      <c r="F796" s="91">
        <v>45918</v>
      </c>
      <c r="G796" s="92">
        <v>71275</v>
      </c>
      <c r="H796" s="90" t="s">
        <v>7</v>
      </c>
      <c r="I7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6" s="90" t="s">
        <v>7293</v>
      </c>
    </row>
    <row r="797" spans="1:11">
      <c r="A797" s="90" t="s">
        <v>3890</v>
      </c>
      <c r="B797" s="90" t="s">
        <v>3891</v>
      </c>
      <c r="C797" s="90" t="s">
        <v>16</v>
      </c>
      <c r="D797" s="90" t="str">
        <f>VLOOKUP(Tabela1[[#This Row],[Origem]],'Perguntas 1 a 24'!$J$28:$K$34,2,FALSE)</f>
        <v>Sudeste</v>
      </c>
      <c r="E797" s="90" t="s">
        <v>12136</v>
      </c>
      <c r="F797" s="91">
        <v>45919</v>
      </c>
      <c r="G797" s="92">
        <v>112547</v>
      </c>
      <c r="H797" s="90" t="s">
        <v>11</v>
      </c>
      <c r="I7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7" s="90" t="s">
        <v>3891</v>
      </c>
    </row>
    <row r="798" spans="1:11">
      <c r="A798" s="90" t="s">
        <v>6504</v>
      </c>
      <c r="B798" s="90" t="s">
        <v>6505</v>
      </c>
      <c r="C798" s="90" t="s">
        <v>16</v>
      </c>
      <c r="D798" s="90" t="str">
        <f>VLOOKUP(Tabela1[[#This Row],[Origem]],'Perguntas 1 a 24'!$J$28:$K$34,2,FALSE)</f>
        <v>Sudeste</v>
      </c>
      <c r="E798" s="90" t="s">
        <v>12137</v>
      </c>
      <c r="F798" s="91">
        <v>45920</v>
      </c>
      <c r="G798" s="92">
        <v>65769</v>
      </c>
      <c r="H798" s="90" t="s">
        <v>11</v>
      </c>
      <c r="I7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8" s="90" t="s">
        <v>6505</v>
      </c>
    </row>
    <row r="799" spans="1:11">
      <c r="A799" s="90" t="s">
        <v>7826</v>
      </c>
      <c r="B799" s="90" t="s">
        <v>7827</v>
      </c>
      <c r="C799" s="90" t="s">
        <v>10</v>
      </c>
      <c r="D799" s="90" t="str">
        <f>VLOOKUP(Tabela1[[#This Row],[Origem]],'Perguntas 1 a 24'!$J$28:$K$34,2,FALSE)</f>
        <v>Centro-Oeste</v>
      </c>
      <c r="E799" s="90" t="s">
        <v>12138</v>
      </c>
      <c r="F799" s="91">
        <v>45920</v>
      </c>
      <c r="G799" s="92">
        <v>78042</v>
      </c>
      <c r="H799" s="90" t="s">
        <v>14</v>
      </c>
      <c r="I7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799" s="90" t="s">
        <v>7827</v>
      </c>
    </row>
    <row r="800" spans="1:11">
      <c r="A800" s="90" t="s">
        <v>3908</v>
      </c>
      <c r="B800" s="90" t="s">
        <v>3909</v>
      </c>
      <c r="C800" s="90" t="s">
        <v>16</v>
      </c>
      <c r="D800" s="90" t="str">
        <f>VLOOKUP(Tabela1[[#This Row],[Origem]],'Perguntas 1 a 24'!$J$28:$K$34,2,FALSE)</f>
        <v>Sudeste</v>
      </c>
      <c r="E800" s="90" t="s">
        <v>12139</v>
      </c>
      <c r="F800" s="91">
        <v>45921</v>
      </c>
      <c r="G800" s="92">
        <v>105669</v>
      </c>
      <c r="H800" s="90" t="s">
        <v>9</v>
      </c>
      <c r="I8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0" s="90" t="s">
        <v>3909</v>
      </c>
    </row>
    <row r="801" spans="1:11">
      <c r="A801" s="90" t="s">
        <v>4193</v>
      </c>
      <c r="B801" s="90" t="s">
        <v>4194</v>
      </c>
      <c r="C801" s="90" t="s">
        <v>13</v>
      </c>
      <c r="D801" s="90" t="str">
        <f>VLOOKUP(Tabela1[[#This Row],[Origem]],'Perguntas 1 a 24'!$J$28:$K$34,2,FALSE)</f>
        <v>Sudeste</v>
      </c>
      <c r="E801" s="90" t="s">
        <v>12140</v>
      </c>
      <c r="F801" s="91">
        <v>45921</v>
      </c>
      <c r="G801" s="92">
        <v>20921</v>
      </c>
      <c r="H801" s="90" t="s">
        <v>14</v>
      </c>
      <c r="I8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01" s="90" t="s">
        <v>4194</v>
      </c>
    </row>
    <row r="802" spans="1:11">
      <c r="A802" s="90" t="s">
        <v>9807</v>
      </c>
      <c r="B802" s="90" t="s">
        <v>9808</v>
      </c>
      <c r="C802" s="90" t="s">
        <v>16</v>
      </c>
      <c r="D802" s="90" t="str">
        <f>VLOOKUP(Tabela1[[#This Row],[Origem]],'Perguntas 1 a 24'!$J$28:$K$34,2,FALSE)</f>
        <v>Sudeste</v>
      </c>
      <c r="E802" s="90" t="s">
        <v>12141</v>
      </c>
      <c r="F802" s="91">
        <v>45921</v>
      </c>
      <c r="G802" s="92">
        <v>112584</v>
      </c>
      <c r="H802" s="90" t="s">
        <v>7</v>
      </c>
      <c r="I8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2" s="90" t="s">
        <v>9808</v>
      </c>
    </row>
    <row r="803" spans="1:11">
      <c r="A803" s="90" t="s">
        <v>6562</v>
      </c>
      <c r="B803" s="90" t="s">
        <v>6563</v>
      </c>
      <c r="C803" s="90" t="s">
        <v>15</v>
      </c>
      <c r="D803" s="90" t="str">
        <f>VLOOKUP(Tabela1[[#This Row],[Origem]],'Perguntas 1 a 24'!$J$28:$K$34,2,FALSE)</f>
        <v>Sudeste</v>
      </c>
      <c r="E803" s="90" t="s">
        <v>12142</v>
      </c>
      <c r="F803" s="91">
        <v>45923</v>
      </c>
      <c r="G803" s="92">
        <v>59189</v>
      </c>
      <c r="H803" s="90" t="s">
        <v>14</v>
      </c>
      <c r="I8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3" s="90" t="s">
        <v>6563</v>
      </c>
    </row>
    <row r="804" spans="1:11">
      <c r="A804" s="90" t="s">
        <v>10669</v>
      </c>
      <c r="B804" s="90" t="s">
        <v>10670</v>
      </c>
      <c r="C804" s="90" t="s">
        <v>10</v>
      </c>
      <c r="D804" s="90" t="str">
        <f>VLOOKUP(Tabela1[[#This Row],[Origem]],'Perguntas 1 a 24'!$J$28:$K$34,2,FALSE)</f>
        <v>Centro-Oeste</v>
      </c>
      <c r="E804" s="90" t="s">
        <v>12143</v>
      </c>
      <c r="F804" s="91">
        <v>45923</v>
      </c>
      <c r="G804" s="92">
        <v>110508</v>
      </c>
      <c r="H804" s="90" t="s">
        <v>11</v>
      </c>
      <c r="I8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4" s="90" t="s">
        <v>10670</v>
      </c>
    </row>
    <row r="805" spans="1:11">
      <c r="A805" s="90" t="s">
        <v>6338</v>
      </c>
      <c r="B805" s="90" t="s">
        <v>6339</v>
      </c>
      <c r="C805" s="90" t="s">
        <v>8</v>
      </c>
      <c r="D805" s="90" t="str">
        <f>VLOOKUP(Tabela1[[#This Row],[Origem]],'Perguntas 1 a 24'!$J$28:$K$34,2,FALSE)</f>
        <v>Nordeste</v>
      </c>
      <c r="E805" s="90" t="s">
        <v>12144</v>
      </c>
      <c r="F805" s="91">
        <v>45924</v>
      </c>
      <c r="G805" s="92">
        <v>50088</v>
      </c>
      <c r="H805" s="90" t="s">
        <v>14</v>
      </c>
      <c r="I8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5" s="90" t="s">
        <v>6339</v>
      </c>
    </row>
    <row r="806" spans="1:11">
      <c r="A806" s="90" t="s">
        <v>9725</v>
      </c>
      <c r="B806" s="90" t="s">
        <v>9726</v>
      </c>
      <c r="C806" s="90" t="s">
        <v>12</v>
      </c>
      <c r="D806" s="90" t="str">
        <f>VLOOKUP(Tabela1[[#This Row],[Origem]],'Perguntas 1 a 24'!$J$28:$K$34,2,FALSE)</f>
        <v>Sudeste</v>
      </c>
      <c r="E806" s="90" t="s">
        <v>12145</v>
      </c>
      <c r="F806" s="91">
        <v>45924</v>
      </c>
      <c r="G806" s="92">
        <v>95996</v>
      </c>
      <c r="H806" s="90" t="s">
        <v>9</v>
      </c>
      <c r="I8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6" s="90" t="s">
        <v>9726</v>
      </c>
    </row>
    <row r="807" spans="1:11">
      <c r="A807" s="90" t="s">
        <v>6774</v>
      </c>
      <c r="B807" s="90" t="s">
        <v>6775</v>
      </c>
      <c r="C807" s="90" t="s">
        <v>10</v>
      </c>
      <c r="D807" s="90" t="str">
        <f>VLOOKUP(Tabela1[[#This Row],[Origem]],'Perguntas 1 a 24'!$J$28:$K$34,2,FALSE)</f>
        <v>Centro-Oeste</v>
      </c>
      <c r="E807" s="90" t="s">
        <v>12146</v>
      </c>
      <c r="F807" s="91">
        <v>45925</v>
      </c>
      <c r="G807" s="92">
        <v>103759</v>
      </c>
      <c r="H807" s="90" t="s">
        <v>14</v>
      </c>
      <c r="I8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7" s="90" t="s">
        <v>6775</v>
      </c>
    </row>
    <row r="808" spans="1:11">
      <c r="A808" s="90" t="s">
        <v>7726</v>
      </c>
      <c r="B808" s="90" t="s">
        <v>7727</v>
      </c>
      <c r="C808" s="90" t="s">
        <v>6</v>
      </c>
      <c r="D808" s="90" t="str">
        <f>VLOOKUP(Tabela1[[#This Row],[Origem]],'Perguntas 1 a 24'!$J$28:$K$34,2,FALSE)</f>
        <v>Nordeste</v>
      </c>
      <c r="E808" s="90" t="s">
        <v>12147</v>
      </c>
      <c r="F808" s="91">
        <v>45925</v>
      </c>
      <c r="G808" s="92">
        <v>107795</v>
      </c>
      <c r="H808" s="90" t="s">
        <v>9</v>
      </c>
      <c r="I8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8" s="90" t="s">
        <v>7727</v>
      </c>
    </row>
    <row r="809" spans="1:11">
      <c r="A809" s="90" t="s">
        <v>7900</v>
      </c>
      <c r="B809" s="90" t="s">
        <v>7901</v>
      </c>
      <c r="C809" s="90" t="s">
        <v>15</v>
      </c>
      <c r="D809" s="90" t="str">
        <f>VLOOKUP(Tabela1[[#This Row],[Origem]],'Perguntas 1 a 24'!$J$28:$K$34,2,FALSE)</f>
        <v>Sudeste</v>
      </c>
      <c r="E809" s="90" t="s">
        <v>12148</v>
      </c>
      <c r="F809" s="91">
        <v>45925</v>
      </c>
      <c r="G809" s="92">
        <v>88892</v>
      </c>
      <c r="H809" s="90" t="s">
        <v>11</v>
      </c>
      <c r="I8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09" s="90" t="s">
        <v>7901</v>
      </c>
    </row>
    <row r="810" spans="1:11">
      <c r="A810" s="90" t="s">
        <v>10697</v>
      </c>
      <c r="B810" s="90" t="s">
        <v>10698</v>
      </c>
      <c r="C810" s="90" t="s">
        <v>10</v>
      </c>
      <c r="D810" s="90" t="str">
        <f>VLOOKUP(Tabela1[[#This Row],[Origem]],'Perguntas 1 a 24'!$J$28:$K$34,2,FALSE)</f>
        <v>Centro-Oeste</v>
      </c>
      <c r="E810" s="90" t="s">
        <v>12149</v>
      </c>
      <c r="F810" s="91">
        <v>45925</v>
      </c>
      <c r="G810" s="92">
        <v>62708</v>
      </c>
      <c r="H810" s="90" t="s">
        <v>14</v>
      </c>
      <c r="I8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0" s="90" t="s">
        <v>10698</v>
      </c>
    </row>
    <row r="811" spans="1:11">
      <c r="A811" s="90" t="s">
        <v>10725</v>
      </c>
      <c r="B811" s="90" t="s">
        <v>10726</v>
      </c>
      <c r="C811" s="90" t="s">
        <v>15</v>
      </c>
      <c r="D811" s="90" t="str">
        <f>VLOOKUP(Tabela1[[#This Row],[Origem]],'Perguntas 1 a 24'!$J$28:$K$34,2,FALSE)</f>
        <v>Sudeste</v>
      </c>
      <c r="E811" s="90" t="s">
        <v>12150</v>
      </c>
      <c r="F811" s="91">
        <v>45926</v>
      </c>
      <c r="G811" s="92">
        <v>88333</v>
      </c>
      <c r="H811" s="90" t="s">
        <v>11</v>
      </c>
      <c r="I8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1" s="90" t="s">
        <v>10726</v>
      </c>
    </row>
    <row r="812" spans="1:11">
      <c r="A812" s="90" t="s">
        <v>8016</v>
      </c>
      <c r="B812" s="90" t="s">
        <v>8017</v>
      </c>
      <c r="C812" s="90" t="s">
        <v>10</v>
      </c>
      <c r="D812" s="90" t="str">
        <f>VLOOKUP(Tabela1[[#This Row],[Origem]],'Perguntas 1 a 24'!$J$28:$K$34,2,FALSE)</f>
        <v>Centro-Oeste</v>
      </c>
      <c r="E812" s="90" t="s">
        <v>12151</v>
      </c>
      <c r="F812" s="91">
        <v>45927</v>
      </c>
      <c r="G812" s="92">
        <v>44314</v>
      </c>
      <c r="H812" s="90" t="s">
        <v>7</v>
      </c>
      <c r="I8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12" s="90" t="s">
        <v>8017</v>
      </c>
    </row>
    <row r="813" spans="1:11">
      <c r="A813" s="90" t="s">
        <v>10625</v>
      </c>
      <c r="B813" s="90" t="s">
        <v>10626</v>
      </c>
      <c r="C813" s="90" t="s">
        <v>15</v>
      </c>
      <c r="D813" s="90" t="str">
        <f>VLOOKUP(Tabela1[[#This Row],[Origem]],'Perguntas 1 a 24'!$J$28:$K$34,2,FALSE)</f>
        <v>Sudeste</v>
      </c>
      <c r="E813" s="90" t="s">
        <v>12152</v>
      </c>
      <c r="F813" s="91">
        <v>45927</v>
      </c>
      <c r="G813" s="92">
        <v>81198</v>
      </c>
      <c r="H813" s="90" t="s">
        <v>9</v>
      </c>
      <c r="I8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3" s="90" t="s">
        <v>10626</v>
      </c>
    </row>
    <row r="814" spans="1:11">
      <c r="A814" s="90" t="s">
        <v>4782</v>
      </c>
      <c r="B814" s="90" t="s">
        <v>4783</v>
      </c>
      <c r="C814" s="90" t="s">
        <v>13</v>
      </c>
      <c r="D814" s="90" t="str">
        <f>VLOOKUP(Tabela1[[#This Row],[Origem]],'Perguntas 1 a 24'!$J$28:$K$34,2,FALSE)</f>
        <v>Sudeste</v>
      </c>
      <c r="E814" s="90" t="s">
        <v>12153</v>
      </c>
      <c r="F814" s="91">
        <v>45928</v>
      </c>
      <c r="G814" s="92">
        <v>81430</v>
      </c>
      <c r="H814" s="90" t="s">
        <v>9</v>
      </c>
      <c r="I8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4" s="90" t="s">
        <v>4783</v>
      </c>
    </row>
    <row r="815" spans="1:11">
      <c r="A815" s="90" t="s">
        <v>4808</v>
      </c>
      <c r="B815" s="90" t="s">
        <v>4809</v>
      </c>
      <c r="C815" s="90" t="s">
        <v>15</v>
      </c>
      <c r="D815" s="90" t="str">
        <f>VLOOKUP(Tabela1[[#This Row],[Origem]],'Perguntas 1 a 24'!$J$28:$K$34,2,FALSE)</f>
        <v>Sudeste</v>
      </c>
      <c r="E815" s="90" t="s">
        <v>12154</v>
      </c>
      <c r="F815" s="91">
        <v>45928</v>
      </c>
      <c r="G815" s="92">
        <v>81244</v>
      </c>
      <c r="H815" s="90" t="s">
        <v>14</v>
      </c>
      <c r="I8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5" s="90" t="s">
        <v>4809</v>
      </c>
    </row>
    <row r="816" spans="1:11">
      <c r="A816" s="90" t="s">
        <v>9705</v>
      </c>
      <c r="B816" s="90" t="s">
        <v>9706</v>
      </c>
      <c r="C816" s="90" t="s">
        <v>16</v>
      </c>
      <c r="D816" s="90" t="str">
        <f>VLOOKUP(Tabela1[[#This Row],[Origem]],'Perguntas 1 a 24'!$J$28:$K$34,2,FALSE)</f>
        <v>Sudeste</v>
      </c>
      <c r="E816" s="90" t="s">
        <v>12155</v>
      </c>
      <c r="F816" s="91">
        <v>45928</v>
      </c>
      <c r="G816" s="92">
        <v>110219</v>
      </c>
      <c r="H816" s="90" t="s">
        <v>7</v>
      </c>
      <c r="I8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6" s="90" t="s">
        <v>9706</v>
      </c>
    </row>
    <row r="817" spans="1:11">
      <c r="A817" s="90" t="s">
        <v>10079</v>
      </c>
      <c r="B817" s="90" t="s">
        <v>10080</v>
      </c>
      <c r="C817" s="90" t="s">
        <v>12</v>
      </c>
      <c r="D817" s="90" t="str">
        <f>VLOOKUP(Tabela1[[#This Row],[Origem]],'Perguntas 1 a 24'!$J$28:$K$34,2,FALSE)</f>
        <v>Sudeste</v>
      </c>
      <c r="E817" s="90" t="s">
        <v>12156</v>
      </c>
      <c r="F817" s="91">
        <v>45929</v>
      </c>
      <c r="G817" s="92">
        <v>59124</v>
      </c>
      <c r="H817" s="90" t="s">
        <v>11</v>
      </c>
      <c r="I8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7" s="90" t="s">
        <v>10080</v>
      </c>
    </row>
    <row r="818" spans="1:11">
      <c r="A818" s="90" t="s">
        <v>4872</v>
      </c>
      <c r="B818" s="90" t="s">
        <v>4873</v>
      </c>
      <c r="C818" s="90" t="s">
        <v>6</v>
      </c>
      <c r="D818" s="90" t="str">
        <f>VLOOKUP(Tabela1[[#This Row],[Origem]],'Perguntas 1 a 24'!$J$28:$K$34,2,FALSE)</f>
        <v>Nordeste</v>
      </c>
      <c r="E818" s="90" t="s">
        <v>12157</v>
      </c>
      <c r="F818" s="91">
        <v>45933</v>
      </c>
      <c r="G818" s="92">
        <v>27160</v>
      </c>
      <c r="H818" s="90" t="s">
        <v>11</v>
      </c>
      <c r="I8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18" s="90" t="s">
        <v>4873</v>
      </c>
    </row>
    <row r="819" spans="1:11">
      <c r="A819" s="90" t="s">
        <v>5340</v>
      </c>
      <c r="B819" s="90" t="s">
        <v>5341</v>
      </c>
      <c r="C819" s="90" t="s">
        <v>8</v>
      </c>
      <c r="D819" s="90" t="str">
        <f>VLOOKUP(Tabela1[[#This Row],[Origem]],'Perguntas 1 a 24'!$J$28:$K$34,2,FALSE)</f>
        <v>Nordeste</v>
      </c>
      <c r="E819" s="90" t="s">
        <v>12158</v>
      </c>
      <c r="F819" s="91">
        <v>45933</v>
      </c>
      <c r="G819" s="92">
        <v>108119</v>
      </c>
      <c r="H819" s="90" t="s">
        <v>11</v>
      </c>
      <c r="I8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19" s="90" t="s">
        <v>5341</v>
      </c>
    </row>
    <row r="820" spans="1:11">
      <c r="A820" s="90" t="s">
        <v>4150</v>
      </c>
      <c r="B820" s="90" t="s">
        <v>4151</v>
      </c>
      <c r="C820" s="90" t="s">
        <v>16</v>
      </c>
      <c r="D820" s="90" t="str">
        <f>VLOOKUP(Tabela1[[#This Row],[Origem]],'Perguntas 1 a 24'!$J$28:$K$34,2,FALSE)</f>
        <v>Sudeste</v>
      </c>
      <c r="E820" s="90" t="s">
        <v>12159</v>
      </c>
      <c r="F820" s="91">
        <v>45934</v>
      </c>
      <c r="G820" s="92">
        <v>25938</v>
      </c>
      <c r="H820" s="90" t="s">
        <v>9</v>
      </c>
      <c r="I8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20" s="90" t="s">
        <v>4151</v>
      </c>
    </row>
    <row r="821" spans="1:11">
      <c r="A821" s="90" t="s">
        <v>6524</v>
      </c>
      <c r="B821" s="90" t="s">
        <v>6525</v>
      </c>
      <c r="C821" s="90" t="s">
        <v>13</v>
      </c>
      <c r="D821" s="90" t="str">
        <f>VLOOKUP(Tabela1[[#This Row],[Origem]],'Perguntas 1 a 24'!$J$28:$K$34,2,FALSE)</f>
        <v>Sudeste</v>
      </c>
      <c r="E821" s="90" t="s">
        <v>12160</v>
      </c>
      <c r="F821" s="91">
        <v>45934</v>
      </c>
      <c r="G821" s="92">
        <v>97539</v>
      </c>
      <c r="H821" s="90" t="s">
        <v>9</v>
      </c>
      <c r="I8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21" s="90" t="s">
        <v>6525</v>
      </c>
    </row>
    <row r="822" spans="1:11">
      <c r="A822" s="90" t="s">
        <v>11338</v>
      </c>
      <c r="B822" s="90" t="s">
        <v>11339</v>
      </c>
      <c r="C822" s="90" t="s">
        <v>16</v>
      </c>
      <c r="D822" s="90" t="str">
        <f>VLOOKUP(Tabela1[[#This Row],[Origem]],'Perguntas 1 a 24'!$J$28:$K$34,2,FALSE)</f>
        <v>Sudeste</v>
      </c>
      <c r="E822" s="90" t="s">
        <v>12161</v>
      </c>
      <c r="F822" s="91">
        <v>45935</v>
      </c>
      <c r="G822" s="92">
        <v>29972</v>
      </c>
      <c r="H822" s="90" t="s">
        <v>14</v>
      </c>
      <c r="I8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22" s="90" t="s">
        <v>11339</v>
      </c>
    </row>
    <row r="823" spans="1:11">
      <c r="A823" s="90" t="s">
        <v>8432</v>
      </c>
      <c r="B823" s="90" t="s">
        <v>8433</v>
      </c>
      <c r="C823" s="90" t="s">
        <v>6</v>
      </c>
      <c r="D823" s="90" t="str">
        <f>VLOOKUP(Tabela1[[#This Row],[Origem]],'Perguntas 1 a 24'!$J$28:$K$34,2,FALSE)</f>
        <v>Nordeste</v>
      </c>
      <c r="E823" s="90" t="s">
        <v>12162</v>
      </c>
      <c r="F823" s="91">
        <v>45936</v>
      </c>
      <c r="G823" s="92">
        <v>41744</v>
      </c>
      <c r="H823" s="90" t="s">
        <v>9</v>
      </c>
      <c r="I8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23" s="90" t="s">
        <v>8433</v>
      </c>
    </row>
    <row r="824" spans="1:11">
      <c r="A824" s="90" t="s">
        <v>9981</v>
      </c>
      <c r="B824" s="90" t="s">
        <v>9982</v>
      </c>
      <c r="C824" s="90" t="s">
        <v>12</v>
      </c>
      <c r="D824" s="90" t="str">
        <f>VLOOKUP(Tabela1[[#This Row],[Origem]],'Perguntas 1 a 24'!$J$28:$K$34,2,FALSE)</f>
        <v>Sudeste</v>
      </c>
      <c r="E824" s="90" t="s">
        <v>12163</v>
      </c>
      <c r="F824" s="91">
        <v>45937</v>
      </c>
      <c r="G824" s="92">
        <v>119595</v>
      </c>
      <c r="H824" s="90" t="s">
        <v>7</v>
      </c>
      <c r="I8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24" s="90" t="s">
        <v>9982</v>
      </c>
    </row>
    <row r="825" spans="1:11">
      <c r="A825" s="90" t="s">
        <v>4395</v>
      </c>
      <c r="B825" s="90" t="s">
        <v>4396</v>
      </c>
      <c r="C825" s="90" t="s">
        <v>15</v>
      </c>
      <c r="D825" s="90" t="str">
        <f>VLOOKUP(Tabela1[[#This Row],[Origem]],'Perguntas 1 a 24'!$J$28:$K$34,2,FALSE)</f>
        <v>Sudeste</v>
      </c>
      <c r="E825" s="90" t="s">
        <v>12164</v>
      </c>
      <c r="F825" s="91">
        <v>45938</v>
      </c>
      <c r="G825" s="92">
        <v>80729</v>
      </c>
      <c r="H825" s="90" t="s">
        <v>14</v>
      </c>
      <c r="I8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25" s="90" t="s">
        <v>4396</v>
      </c>
    </row>
    <row r="826" spans="1:11">
      <c r="A826" s="90" t="s">
        <v>4439</v>
      </c>
      <c r="B826" s="90" t="s">
        <v>4440</v>
      </c>
      <c r="C826" s="90" t="s">
        <v>16</v>
      </c>
      <c r="D826" s="90" t="str">
        <f>VLOOKUP(Tabela1[[#This Row],[Origem]],'Perguntas 1 a 24'!$J$28:$K$34,2,FALSE)</f>
        <v>Sudeste</v>
      </c>
      <c r="E826" s="90" t="s">
        <v>12165</v>
      </c>
      <c r="F826" s="91">
        <v>45938</v>
      </c>
      <c r="G826" s="92">
        <v>110916</v>
      </c>
      <c r="H826" s="90" t="s">
        <v>14</v>
      </c>
      <c r="I8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26" s="90" t="s">
        <v>4440</v>
      </c>
    </row>
    <row r="827" spans="1:11">
      <c r="A827" s="90" t="s">
        <v>10477</v>
      </c>
      <c r="B827" s="90" t="s">
        <v>10478</v>
      </c>
      <c r="C827" s="90" t="s">
        <v>6</v>
      </c>
      <c r="D827" s="90" t="str">
        <f>VLOOKUP(Tabela1[[#This Row],[Origem]],'Perguntas 1 a 24'!$J$28:$K$34,2,FALSE)</f>
        <v>Nordeste</v>
      </c>
      <c r="E827" s="90" t="s">
        <v>12166</v>
      </c>
      <c r="F827" s="91">
        <v>45938</v>
      </c>
      <c r="G827" s="92">
        <v>41930</v>
      </c>
      <c r="H827" s="90" t="s">
        <v>9</v>
      </c>
      <c r="I8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27" s="90" t="s">
        <v>10478</v>
      </c>
    </row>
    <row r="828" spans="1:11">
      <c r="A828" s="90" t="s">
        <v>10379</v>
      </c>
      <c r="B828" s="90" t="s">
        <v>10380</v>
      </c>
      <c r="C828" s="90" t="s">
        <v>8</v>
      </c>
      <c r="D828" s="90" t="str">
        <f>VLOOKUP(Tabela1[[#This Row],[Origem]],'Perguntas 1 a 24'!$J$28:$K$34,2,FALSE)</f>
        <v>Nordeste</v>
      </c>
      <c r="E828" s="90" t="s">
        <v>12167</v>
      </c>
      <c r="F828" s="91">
        <v>45939</v>
      </c>
      <c r="G828" s="92">
        <v>71939</v>
      </c>
      <c r="H828" s="90" t="s">
        <v>7</v>
      </c>
      <c r="I8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28" s="90" t="s">
        <v>10380</v>
      </c>
    </row>
    <row r="829" spans="1:11">
      <c r="A829" s="90" t="s">
        <v>10777</v>
      </c>
      <c r="B829" s="90" t="s">
        <v>10778</v>
      </c>
      <c r="C829" s="90" t="s">
        <v>13</v>
      </c>
      <c r="D829" s="90" t="str">
        <f>VLOOKUP(Tabela1[[#This Row],[Origem]],'Perguntas 1 a 24'!$J$28:$K$34,2,FALSE)</f>
        <v>Sudeste</v>
      </c>
      <c r="E829" s="90" t="s">
        <v>12168</v>
      </c>
      <c r="F829" s="91">
        <v>45940</v>
      </c>
      <c r="G829" s="92">
        <v>111793</v>
      </c>
      <c r="H829" s="90" t="s">
        <v>7</v>
      </c>
      <c r="I8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29" s="90" t="s">
        <v>10778</v>
      </c>
    </row>
    <row r="830" spans="1:11">
      <c r="A830" s="90" t="s">
        <v>9073</v>
      </c>
      <c r="B830" s="90" t="s">
        <v>9074</v>
      </c>
      <c r="C830" s="90" t="s">
        <v>8</v>
      </c>
      <c r="D830" s="90" t="str">
        <f>VLOOKUP(Tabela1[[#This Row],[Origem]],'Perguntas 1 a 24'!$J$28:$K$34,2,FALSE)</f>
        <v>Nordeste</v>
      </c>
      <c r="E830" s="90" t="s">
        <v>12169</v>
      </c>
      <c r="F830" s="91">
        <v>45942</v>
      </c>
      <c r="G830" s="92">
        <v>115388</v>
      </c>
      <c r="H830" s="90" t="s">
        <v>11</v>
      </c>
      <c r="I8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30" s="90" t="s">
        <v>9074</v>
      </c>
    </row>
    <row r="831" spans="1:11">
      <c r="A831" s="90" t="s">
        <v>9379</v>
      </c>
      <c r="B831" s="90" t="s">
        <v>9380</v>
      </c>
      <c r="C831" s="90" t="s">
        <v>8</v>
      </c>
      <c r="D831" s="90" t="str">
        <f>VLOOKUP(Tabela1[[#This Row],[Origem]],'Perguntas 1 a 24'!$J$28:$K$34,2,FALSE)</f>
        <v>Nordeste</v>
      </c>
      <c r="E831" s="90" t="s">
        <v>12170</v>
      </c>
      <c r="F831" s="91">
        <v>45942</v>
      </c>
      <c r="G831" s="92">
        <v>86735</v>
      </c>
      <c r="H831" s="90" t="s">
        <v>11</v>
      </c>
      <c r="I8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31" s="90" t="s">
        <v>9380</v>
      </c>
    </row>
    <row r="832" spans="1:11">
      <c r="A832" s="90" t="s">
        <v>9657</v>
      </c>
      <c r="B832" s="90" t="s">
        <v>9658</v>
      </c>
      <c r="C832" s="90" t="s">
        <v>6</v>
      </c>
      <c r="D832" s="90" t="str">
        <f>VLOOKUP(Tabela1[[#This Row],[Origem]],'Perguntas 1 a 24'!$J$28:$K$34,2,FALSE)</f>
        <v>Nordeste</v>
      </c>
      <c r="E832" s="90" t="s">
        <v>12171</v>
      </c>
      <c r="F832" s="91">
        <v>45942</v>
      </c>
      <c r="G832" s="92">
        <v>78100</v>
      </c>
      <c r="H832" s="90" t="s">
        <v>14</v>
      </c>
      <c r="I8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32" s="90" t="s">
        <v>9658</v>
      </c>
    </row>
    <row r="833" spans="1:11">
      <c r="A833" s="90" t="s">
        <v>10891</v>
      </c>
      <c r="B833" s="90" t="s">
        <v>10892</v>
      </c>
      <c r="C833" s="90" t="s">
        <v>15</v>
      </c>
      <c r="D833" s="90" t="str">
        <f>VLOOKUP(Tabela1[[#This Row],[Origem]],'Perguntas 1 a 24'!$J$28:$K$34,2,FALSE)</f>
        <v>Sudeste</v>
      </c>
      <c r="E833" s="90" t="s">
        <v>12172</v>
      </c>
      <c r="F833" s="91">
        <v>45942</v>
      </c>
      <c r="G833" s="92">
        <v>21395</v>
      </c>
      <c r="H833" s="90" t="s">
        <v>9</v>
      </c>
      <c r="I8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33" s="90" t="s">
        <v>10892</v>
      </c>
    </row>
    <row r="834" spans="1:11">
      <c r="A834" s="90" t="s">
        <v>3702</v>
      </c>
      <c r="B834" s="90" t="s">
        <v>3703</v>
      </c>
      <c r="C834" s="90" t="s">
        <v>10</v>
      </c>
      <c r="D834" s="90" t="str">
        <f>VLOOKUP(Tabela1[[#This Row],[Origem]],'Perguntas 1 a 24'!$J$28:$K$34,2,FALSE)</f>
        <v>Centro-Oeste</v>
      </c>
      <c r="E834" s="90" t="s">
        <v>12173</v>
      </c>
      <c r="F834" s="91">
        <v>45943</v>
      </c>
      <c r="G834" s="92">
        <v>26833</v>
      </c>
      <c r="H834" s="90" t="s">
        <v>11</v>
      </c>
      <c r="I8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34" s="90" t="s">
        <v>3703</v>
      </c>
    </row>
    <row r="835" spans="1:11">
      <c r="A835" s="90" t="s">
        <v>3944</v>
      </c>
      <c r="B835" s="90" t="s">
        <v>3945</v>
      </c>
      <c r="C835" s="90" t="s">
        <v>6</v>
      </c>
      <c r="D835" s="90" t="str">
        <f>VLOOKUP(Tabela1[[#This Row],[Origem]],'Perguntas 1 a 24'!$J$28:$K$34,2,FALSE)</f>
        <v>Nordeste</v>
      </c>
      <c r="E835" s="90" t="s">
        <v>12174</v>
      </c>
      <c r="F835" s="91">
        <v>45943</v>
      </c>
      <c r="G835" s="92">
        <v>22412</v>
      </c>
      <c r="H835" s="90" t="s">
        <v>9</v>
      </c>
      <c r="I8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35" s="90" t="s">
        <v>3945</v>
      </c>
    </row>
    <row r="836" spans="1:11">
      <c r="A836" s="90" t="s">
        <v>3884</v>
      </c>
      <c r="B836" s="90" t="s">
        <v>3885</v>
      </c>
      <c r="C836" s="90" t="s">
        <v>10</v>
      </c>
      <c r="D836" s="90" t="str">
        <f>VLOOKUP(Tabela1[[#This Row],[Origem]],'Perguntas 1 a 24'!$J$28:$K$34,2,FALSE)</f>
        <v>Centro-Oeste</v>
      </c>
      <c r="E836" s="90" t="s">
        <v>12175</v>
      </c>
      <c r="F836" s="91">
        <v>45945</v>
      </c>
      <c r="G836" s="92">
        <v>104330</v>
      </c>
      <c r="H836" s="90" t="s">
        <v>9</v>
      </c>
      <c r="I8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36" s="90" t="s">
        <v>3885</v>
      </c>
    </row>
    <row r="837" spans="1:11">
      <c r="A837" s="90" t="s">
        <v>3924</v>
      </c>
      <c r="B837" s="90" t="s">
        <v>3925</v>
      </c>
      <c r="C837" s="90" t="s">
        <v>6</v>
      </c>
      <c r="D837" s="90" t="str">
        <f>VLOOKUP(Tabela1[[#This Row],[Origem]],'Perguntas 1 a 24'!$J$28:$K$34,2,FALSE)</f>
        <v>Nordeste</v>
      </c>
      <c r="E837" s="90" t="s">
        <v>12176</v>
      </c>
      <c r="F837" s="91">
        <v>45946</v>
      </c>
      <c r="G837" s="92">
        <v>75232</v>
      </c>
      <c r="H837" s="90" t="s">
        <v>14</v>
      </c>
      <c r="I8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37" s="90" t="s">
        <v>3925</v>
      </c>
    </row>
    <row r="838" spans="1:11">
      <c r="A838" s="90" t="s">
        <v>10835</v>
      </c>
      <c r="B838" s="90" t="s">
        <v>10836</v>
      </c>
      <c r="C838" s="90" t="s">
        <v>15</v>
      </c>
      <c r="D838" s="90" t="str">
        <f>VLOOKUP(Tabela1[[#This Row],[Origem]],'Perguntas 1 a 24'!$J$28:$K$34,2,FALSE)</f>
        <v>Sudeste</v>
      </c>
      <c r="E838" s="90" t="s">
        <v>12177</v>
      </c>
      <c r="F838" s="91">
        <v>45946</v>
      </c>
      <c r="G838" s="92">
        <v>48402</v>
      </c>
      <c r="H838" s="90" t="s">
        <v>7</v>
      </c>
      <c r="I8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38" s="90" t="s">
        <v>10836</v>
      </c>
    </row>
    <row r="839" spans="1:11">
      <c r="A839" s="90" t="s">
        <v>4506</v>
      </c>
      <c r="B839" s="90" t="s">
        <v>4507</v>
      </c>
      <c r="C839" s="90" t="s">
        <v>10</v>
      </c>
      <c r="D839" s="90" t="str">
        <f>VLOOKUP(Tabela1[[#This Row],[Origem]],'Perguntas 1 a 24'!$J$28:$K$34,2,FALSE)</f>
        <v>Centro-Oeste</v>
      </c>
      <c r="E839" s="90" t="s">
        <v>12178</v>
      </c>
      <c r="F839" s="91">
        <v>45947</v>
      </c>
      <c r="G839" s="92">
        <v>68551</v>
      </c>
      <c r="H839" s="90" t="s">
        <v>11</v>
      </c>
      <c r="I8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39" s="90" t="s">
        <v>4507</v>
      </c>
    </row>
    <row r="840" spans="1:11">
      <c r="A840" s="90" t="s">
        <v>8941</v>
      </c>
      <c r="B840" s="90" t="s">
        <v>8942</v>
      </c>
      <c r="C840" s="90" t="s">
        <v>16</v>
      </c>
      <c r="D840" s="90" t="str">
        <f>VLOOKUP(Tabela1[[#This Row],[Origem]],'Perguntas 1 a 24'!$J$28:$K$34,2,FALSE)</f>
        <v>Sudeste</v>
      </c>
      <c r="E840" s="90" t="s">
        <v>12179</v>
      </c>
      <c r="F840" s="91">
        <v>45947</v>
      </c>
      <c r="G840" s="92">
        <v>101399</v>
      </c>
      <c r="H840" s="90" t="s">
        <v>9</v>
      </c>
      <c r="I8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0" s="90" t="s">
        <v>8942</v>
      </c>
    </row>
    <row r="841" spans="1:11">
      <c r="A841" s="90" t="s">
        <v>6388</v>
      </c>
      <c r="B841" s="90" t="s">
        <v>6389</v>
      </c>
      <c r="C841" s="90" t="s">
        <v>6</v>
      </c>
      <c r="D841" s="90" t="str">
        <f>VLOOKUP(Tabela1[[#This Row],[Origem]],'Perguntas 1 a 24'!$J$28:$K$34,2,FALSE)</f>
        <v>Nordeste</v>
      </c>
      <c r="E841" s="90" t="s">
        <v>12180</v>
      </c>
      <c r="F841" s="91">
        <v>45948</v>
      </c>
      <c r="G841" s="92">
        <v>58782</v>
      </c>
      <c r="H841" s="90" t="s">
        <v>9</v>
      </c>
      <c r="I8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1" s="90" t="s">
        <v>6389</v>
      </c>
    </row>
    <row r="842" spans="1:11">
      <c r="A842" s="90" t="s">
        <v>4281</v>
      </c>
      <c r="B842" s="90" t="s">
        <v>4282</v>
      </c>
      <c r="C842" s="90" t="s">
        <v>12</v>
      </c>
      <c r="D842" s="90" t="str">
        <f>VLOOKUP(Tabela1[[#This Row],[Origem]],'Perguntas 1 a 24'!$J$28:$K$34,2,FALSE)</f>
        <v>Sudeste</v>
      </c>
      <c r="E842" s="90" t="s">
        <v>12181</v>
      </c>
      <c r="F842" s="91">
        <v>45949</v>
      </c>
      <c r="G842" s="92">
        <v>58177</v>
      </c>
      <c r="H842" s="90" t="s">
        <v>9</v>
      </c>
      <c r="I8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2" s="90" t="s">
        <v>4282</v>
      </c>
    </row>
    <row r="843" spans="1:11">
      <c r="A843" s="90" t="s">
        <v>7488</v>
      </c>
      <c r="B843" s="90" t="s">
        <v>7489</v>
      </c>
      <c r="C843" s="90" t="s">
        <v>15</v>
      </c>
      <c r="D843" s="90" t="str">
        <f>VLOOKUP(Tabela1[[#This Row],[Origem]],'Perguntas 1 a 24'!$J$28:$K$34,2,FALSE)</f>
        <v>Sudeste</v>
      </c>
      <c r="E843" s="90" t="s">
        <v>12182</v>
      </c>
      <c r="F843" s="91">
        <v>45949</v>
      </c>
      <c r="G843" s="92">
        <v>93653</v>
      </c>
      <c r="H843" s="90" t="s">
        <v>11</v>
      </c>
      <c r="I8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3" s="90" t="s">
        <v>7489</v>
      </c>
    </row>
    <row r="844" spans="1:11">
      <c r="A844" s="90" t="s">
        <v>9865</v>
      </c>
      <c r="B844" s="90" t="s">
        <v>9866</v>
      </c>
      <c r="C844" s="90" t="s">
        <v>16</v>
      </c>
      <c r="D844" s="90" t="str">
        <f>VLOOKUP(Tabela1[[#This Row],[Origem]],'Perguntas 1 a 24'!$J$28:$K$34,2,FALSE)</f>
        <v>Sudeste</v>
      </c>
      <c r="E844" s="90" t="s">
        <v>12183</v>
      </c>
      <c r="F844" s="91">
        <v>45949</v>
      </c>
      <c r="G844" s="92">
        <v>89971</v>
      </c>
      <c r="H844" s="90" t="s">
        <v>9</v>
      </c>
      <c r="I8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4" s="90" t="s">
        <v>9866</v>
      </c>
    </row>
    <row r="845" spans="1:11">
      <c r="A845" s="90" t="s">
        <v>4106</v>
      </c>
      <c r="B845" s="90" t="s">
        <v>4107</v>
      </c>
      <c r="C845" s="90" t="s">
        <v>16</v>
      </c>
      <c r="D845" s="90" t="str">
        <f>VLOOKUP(Tabela1[[#This Row],[Origem]],'Perguntas 1 a 24'!$J$28:$K$34,2,FALSE)</f>
        <v>Sudeste</v>
      </c>
      <c r="E845" s="90" t="s">
        <v>12184</v>
      </c>
      <c r="F845" s="91">
        <v>45951</v>
      </c>
      <c r="G845" s="92">
        <v>101413</v>
      </c>
      <c r="H845" s="90" t="s">
        <v>9</v>
      </c>
      <c r="I8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5" s="90" t="s">
        <v>4107</v>
      </c>
    </row>
    <row r="846" spans="1:11">
      <c r="A846" s="90" t="s">
        <v>5066</v>
      </c>
      <c r="B846" s="90" t="s">
        <v>5067</v>
      </c>
      <c r="C846" s="90" t="s">
        <v>13</v>
      </c>
      <c r="D846" s="90" t="str">
        <f>VLOOKUP(Tabela1[[#This Row],[Origem]],'Perguntas 1 a 24'!$J$28:$K$34,2,FALSE)</f>
        <v>Sudeste</v>
      </c>
      <c r="E846" s="90" t="s">
        <v>12185</v>
      </c>
      <c r="F846" s="91">
        <v>45952</v>
      </c>
      <c r="G846" s="92">
        <v>43807</v>
      </c>
      <c r="H846" s="90" t="s">
        <v>14</v>
      </c>
      <c r="I8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46" s="90" t="s">
        <v>5067</v>
      </c>
    </row>
    <row r="847" spans="1:11">
      <c r="A847" s="90" t="s">
        <v>6276</v>
      </c>
      <c r="B847" s="90" t="s">
        <v>6277</v>
      </c>
      <c r="C847" s="90" t="s">
        <v>13</v>
      </c>
      <c r="D847" s="90" t="str">
        <f>VLOOKUP(Tabela1[[#This Row],[Origem]],'Perguntas 1 a 24'!$J$28:$K$34,2,FALSE)</f>
        <v>Sudeste</v>
      </c>
      <c r="E847" s="90" t="s">
        <v>12186</v>
      </c>
      <c r="F847" s="91">
        <v>45952</v>
      </c>
      <c r="G847" s="92">
        <v>30831</v>
      </c>
      <c r="H847" s="90" t="s">
        <v>9</v>
      </c>
      <c r="I8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47" s="90" t="s">
        <v>6277</v>
      </c>
    </row>
    <row r="848" spans="1:11">
      <c r="A848" s="90" t="s">
        <v>4830</v>
      </c>
      <c r="B848" s="90" t="s">
        <v>4831</v>
      </c>
      <c r="C848" s="90" t="s">
        <v>13</v>
      </c>
      <c r="D848" s="90" t="str">
        <f>VLOOKUP(Tabela1[[#This Row],[Origem]],'Perguntas 1 a 24'!$J$28:$K$34,2,FALSE)</f>
        <v>Sudeste</v>
      </c>
      <c r="E848" s="90" t="s">
        <v>12187</v>
      </c>
      <c r="F848" s="91">
        <v>45954</v>
      </c>
      <c r="G848" s="92">
        <v>93428</v>
      </c>
      <c r="H848" s="90" t="s">
        <v>14</v>
      </c>
      <c r="I8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8" s="90" t="s">
        <v>4831</v>
      </c>
    </row>
    <row r="849" spans="1:11">
      <c r="A849" s="90" t="s">
        <v>5036</v>
      </c>
      <c r="B849" s="90" t="s">
        <v>5037</v>
      </c>
      <c r="C849" s="90" t="s">
        <v>6</v>
      </c>
      <c r="D849" s="90" t="str">
        <f>VLOOKUP(Tabela1[[#This Row],[Origem]],'Perguntas 1 a 24'!$J$28:$K$34,2,FALSE)</f>
        <v>Nordeste</v>
      </c>
      <c r="E849" s="90" t="s">
        <v>12188</v>
      </c>
      <c r="F849" s="91">
        <v>45954</v>
      </c>
      <c r="G849" s="92">
        <v>108476</v>
      </c>
      <c r="H849" s="90" t="s">
        <v>9</v>
      </c>
      <c r="I8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49" s="90" t="s">
        <v>5037</v>
      </c>
    </row>
    <row r="850" spans="1:11">
      <c r="A850" s="90" t="s">
        <v>4098</v>
      </c>
      <c r="B850" s="90" t="s">
        <v>4099</v>
      </c>
      <c r="C850" s="90" t="s">
        <v>13</v>
      </c>
      <c r="D850" s="90" t="str">
        <f>VLOOKUP(Tabela1[[#This Row],[Origem]],'Perguntas 1 a 24'!$J$28:$K$34,2,FALSE)</f>
        <v>Sudeste</v>
      </c>
      <c r="E850" s="90" t="s">
        <v>12189</v>
      </c>
      <c r="F850" s="91">
        <v>45956</v>
      </c>
      <c r="G850" s="92">
        <v>20308</v>
      </c>
      <c r="H850" s="90" t="s">
        <v>7</v>
      </c>
      <c r="I8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50" s="90" t="s">
        <v>4099</v>
      </c>
    </row>
    <row r="851" spans="1:11">
      <c r="A851" s="90" t="s">
        <v>4225</v>
      </c>
      <c r="B851" s="90" t="s">
        <v>4226</v>
      </c>
      <c r="C851" s="90" t="s">
        <v>8</v>
      </c>
      <c r="D851" s="90" t="str">
        <f>VLOOKUP(Tabela1[[#This Row],[Origem]],'Perguntas 1 a 24'!$J$28:$K$34,2,FALSE)</f>
        <v>Nordeste</v>
      </c>
      <c r="E851" s="90" t="s">
        <v>12190</v>
      </c>
      <c r="F851" s="91">
        <v>45957</v>
      </c>
      <c r="G851" s="92">
        <v>66508</v>
      </c>
      <c r="H851" s="90" t="s">
        <v>11</v>
      </c>
      <c r="I8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51" s="90" t="s">
        <v>4226</v>
      </c>
    </row>
    <row r="852" spans="1:11">
      <c r="A852" s="90" t="s">
        <v>6112</v>
      </c>
      <c r="B852" s="90" t="s">
        <v>6113</v>
      </c>
      <c r="C852" s="90" t="s">
        <v>8</v>
      </c>
      <c r="D852" s="90" t="str">
        <f>VLOOKUP(Tabela1[[#This Row],[Origem]],'Perguntas 1 a 24'!$J$28:$K$34,2,FALSE)</f>
        <v>Nordeste</v>
      </c>
      <c r="E852" s="90" t="s">
        <v>12191</v>
      </c>
      <c r="F852" s="91">
        <v>45957</v>
      </c>
      <c r="G852" s="92">
        <v>103177</v>
      </c>
      <c r="H852" s="90" t="s">
        <v>11</v>
      </c>
      <c r="I8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52" s="90" t="s">
        <v>6113</v>
      </c>
    </row>
    <row r="853" spans="1:11">
      <c r="A853" s="90" t="s">
        <v>7766</v>
      </c>
      <c r="B853" s="90" t="s">
        <v>7767</v>
      </c>
      <c r="C853" s="90" t="s">
        <v>12</v>
      </c>
      <c r="D853" s="90" t="str">
        <f>VLOOKUP(Tabela1[[#This Row],[Origem]],'Perguntas 1 a 24'!$J$28:$K$34,2,FALSE)</f>
        <v>Sudeste</v>
      </c>
      <c r="E853" s="90" t="s">
        <v>12192</v>
      </c>
      <c r="F853" s="91">
        <v>45957</v>
      </c>
      <c r="G853" s="92">
        <v>27120</v>
      </c>
      <c r="H853" s="90" t="s">
        <v>11</v>
      </c>
      <c r="I8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53" s="90" t="s">
        <v>7767</v>
      </c>
    </row>
    <row r="854" spans="1:11">
      <c r="A854" s="90" t="s">
        <v>8288</v>
      </c>
      <c r="B854" s="90" t="s">
        <v>8289</v>
      </c>
      <c r="C854" s="90" t="s">
        <v>6</v>
      </c>
      <c r="D854" s="90" t="str">
        <f>VLOOKUP(Tabela1[[#This Row],[Origem]],'Perguntas 1 a 24'!$J$28:$K$34,2,FALSE)</f>
        <v>Nordeste</v>
      </c>
      <c r="E854" s="90" t="s">
        <v>12193</v>
      </c>
      <c r="F854" s="91">
        <v>45957</v>
      </c>
      <c r="G854" s="92">
        <v>39129</v>
      </c>
      <c r="H854" s="90" t="s">
        <v>11</v>
      </c>
      <c r="I8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54" s="90" t="s">
        <v>8289</v>
      </c>
    </row>
    <row r="855" spans="1:11">
      <c r="A855" s="90" t="s">
        <v>6698</v>
      </c>
      <c r="B855" s="90" t="s">
        <v>6699</v>
      </c>
      <c r="C855" s="90" t="s">
        <v>15</v>
      </c>
      <c r="D855" s="90" t="str">
        <f>VLOOKUP(Tabela1[[#This Row],[Origem]],'Perguntas 1 a 24'!$J$28:$K$34,2,FALSE)</f>
        <v>Sudeste</v>
      </c>
      <c r="E855" s="90" t="s">
        <v>12194</v>
      </c>
      <c r="F855" s="91">
        <v>45958</v>
      </c>
      <c r="G855" s="92">
        <v>89607</v>
      </c>
      <c r="H855" s="90" t="s">
        <v>7</v>
      </c>
      <c r="I8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55" s="90" t="s">
        <v>6699</v>
      </c>
    </row>
    <row r="856" spans="1:11">
      <c r="A856" s="90" t="s">
        <v>9751</v>
      </c>
      <c r="B856" s="90" t="s">
        <v>9752</v>
      </c>
      <c r="C856" s="90" t="s">
        <v>16</v>
      </c>
      <c r="D856" s="90" t="str">
        <f>VLOOKUP(Tabela1[[#This Row],[Origem]],'Perguntas 1 a 24'!$J$28:$K$34,2,FALSE)</f>
        <v>Sudeste</v>
      </c>
      <c r="E856" s="90" t="s">
        <v>12195</v>
      </c>
      <c r="F856" s="91">
        <v>45960</v>
      </c>
      <c r="G856" s="92">
        <v>111536</v>
      </c>
      <c r="H856" s="90" t="s">
        <v>7</v>
      </c>
      <c r="I8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56" s="90" t="s">
        <v>9752</v>
      </c>
    </row>
    <row r="857" spans="1:11">
      <c r="A857" s="90" t="s">
        <v>6922</v>
      </c>
      <c r="B857" s="90" t="s">
        <v>6923</v>
      </c>
      <c r="C857" s="90" t="s">
        <v>16</v>
      </c>
      <c r="D857" s="90" t="str">
        <f>VLOOKUP(Tabela1[[#This Row],[Origem]],'Perguntas 1 a 24'!$J$28:$K$34,2,FALSE)</f>
        <v>Sudeste</v>
      </c>
      <c r="E857" s="90" t="s">
        <v>12196</v>
      </c>
      <c r="F857" s="91">
        <v>45961</v>
      </c>
      <c r="G857" s="92">
        <v>40013</v>
      </c>
      <c r="H857" s="90" t="s">
        <v>11</v>
      </c>
      <c r="I8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57" s="90" t="s">
        <v>6923</v>
      </c>
    </row>
    <row r="858" spans="1:11">
      <c r="A858" s="90" t="s">
        <v>4096</v>
      </c>
      <c r="B858" s="90" t="s">
        <v>4097</v>
      </c>
      <c r="C858" s="90" t="s">
        <v>6</v>
      </c>
      <c r="D858" s="90" t="str">
        <f>VLOOKUP(Tabela1[[#This Row],[Origem]],'Perguntas 1 a 24'!$J$28:$K$34,2,FALSE)</f>
        <v>Nordeste</v>
      </c>
      <c r="E858" s="90" t="s">
        <v>12197</v>
      </c>
      <c r="F858" s="91">
        <v>45963</v>
      </c>
      <c r="G858" s="92">
        <v>20256</v>
      </c>
      <c r="H858" s="90" t="s">
        <v>11</v>
      </c>
      <c r="I8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58" s="90" t="s">
        <v>4097</v>
      </c>
    </row>
    <row r="859" spans="1:11">
      <c r="A859" s="90" t="s">
        <v>8623</v>
      </c>
      <c r="B859" s="90" t="s">
        <v>8624</v>
      </c>
      <c r="C859" s="90" t="s">
        <v>15</v>
      </c>
      <c r="D859" s="90" t="str">
        <f>VLOOKUP(Tabela1[[#This Row],[Origem]],'Perguntas 1 a 24'!$J$28:$K$34,2,FALSE)</f>
        <v>Sudeste</v>
      </c>
      <c r="E859" s="90" t="s">
        <v>12198</v>
      </c>
      <c r="F859" s="91">
        <v>45964</v>
      </c>
      <c r="G859" s="92">
        <v>64568</v>
      </c>
      <c r="H859" s="90" t="s">
        <v>14</v>
      </c>
      <c r="I8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59" s="90" t="s">
        <v>8624</v>
      </c>
    </row>
    <row r="860" spans="1:11">
      <c r="A860" s="90" t="s">
        <v>10629</v>
      </c>
      <c r="B860" s="90" t="s">
        <v>10630</v>
      </c>
      <c r="C860" s="90" t="s">
        <v>15</v>
      </c>
      <c r="D860" s="90" t="str">
        <f>VLOOKUP(Tabela1[[#This Row],[Origem]],'Perguntas 1 a 24'!$J$28:$K$34,2,FALSE)</f>
        <v>Sudeste</v>
      </c>
      <c r="E860" s="90" t="s">
        <v>12199</v>
      </c>
      <c r="F860" s="91">
        <v>45965</v>
      </c>
      <c r="G860" s="92">
        <v>20681</v>
      </c>
      <c r="H860" s="90" t="s">
        <v>9</v>
      </c>
      <c r="I8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60" s="90" t="s">
        <v>10630</v>
      </c>
    </row>
    <row r="861" spans="1:11">
      <c r="A861" s="90" t="s">
        <v>5540</v>
      </c>
      <c r="B861" s="90" t="s">
        <v>5541</v>
      </c>
      <c r="C861" s="90" t="s">
        <v>13</v>
      </c>
      <c r="D861" s="90" t="str">
        <f>VLOOKUP(Tabela1[[#This Row],[Origem]],'Perguntas 1 a 24'!$J$28:$K$34,2,FALSE)</f>
        <v>Sudeste</v>
      </c>
      <c r="E861" s="90" t="s">
        <v>12200</v>
      </c>
      <c r="F861" s="91">
        <v>45966</v>
      </c>
      <c r="G861" s="92">
        <v>110597</v>
      </c>
      <c r="H861" s="90" t="s">
        <v>11</v>
      </c>
      <c r="I8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1" s="90" t="s">
        <v>5541</v>
      </c>
    </row>
    <row r="862" spans="1:11">
      <c r="A862" s="90" t="s">
        <v>9087</v>
      </c>
      <c r="B862" s="90" t="s">
        <v>9088</v>
      </c>
      <c r="C862" s="90" t="s">
        <v>10</v>
      </c>
      <c r="D862" s="90" t="str">
        <f>VLOOKUP(Tabela1[[#This Row],[Origem]],'Perguntas 1 a 24'!$J$28:$K$34,2,FALSE)</f>
        <v>Centro-Oeste</v>
      </c>
      <c r="E862" s="90" t="s">
        <v>12201</v>
      </c>
      <c r="F862" s="91">
        <v>45967</v>
      </c>
      <c r="G862" s="92">
        <v>96074</v>
      </c>
      <c r="H862" s="90" t="s">
        <v>7</v>
      </c>
      <c r="I8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2" s="90" t="s">
        <v>9088</v>
      </c>
    </row>
    <row r="863" spans="1:11">
      <c r="A863" s="90" t="s">
        <v>6830</v>
      </c>
      <c r="B863" s="90" t="s">
        <v>6831</v>
      </c>
      <c r="C863" s="90" t="s">
        <v>10</v>
      </c>
      <c r="D863" s="90" t="str">
        <f>VLOOKUP(Tabela1[[#This Row],[Origem]],'Perguntas 1 a 24'!$J$28:$K$34,2,FALSE)</f>
        <v>Centro-Oeste</v>
      </c>
      <c r="E863" s="90" t="s">
        <v>12202</v>
      </c>
      <c r="F863" s="91">
        <v>45968</v>
      </c>
      <c r="G863" s="92">
        <v>55017</v>
      </c>
      <c r="H863" s="90" t="s">
        <v>14</v>
      </c>
      <c r="I8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3" s="90" t="s">
        <v>6831</v>
      </c>
    </row>
    <row r="864" spans="1:11">
      <c r="A864" s="90" t="s">
        <v>10445</v>
      </c>
      <c r="B864" s="90" t="s">
        <v>10446</v>
      </c>
      <c r="C864" s="90" t="s">
        <v>6</v>
      </c>
      <c r="D864" s="90" t="str">
        <f>VLOOKUP(Tabela1[[#This Row],[Origem]],'Perguntas 1 a 24'!$J$28:$K$34,2,FALSE)</f>
        <v>Nordeste</v>
      </c>
      <c r="E864" s="90" t="s">
        <v>12203</v>
      </c>
      <c r="F864" s="91">
        <v>45968</v>
      </c>
      <c r="G864" s="92">
        <v>119190</v>
      </c>
      <c r="H864" s="90" t="s">
        <v>7</v>
      </c>
      <c r="I8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4" s="90" t="s">
        <v>10446</v>
      </c>
    </row>
    <row r="865" spans="1:11">
      <c r="A865" s="90" t="s">
        <v>11026</v>
      </c>
      <c r="B865" s="90" t="s">
        <v>11027</v>
      </c>
      <c r="C865" s="90" t="s">
        <v>13</v>
      </c>
      <c r="D865" s="90" t="str">
        <f>VLOOKUP(Tabela1[[#This Row],[Origem]],'Perguntas 1 a 24'!$J$28:$K$34,2,FALSE)</f>
        <v>Sudeste</v>
      </c>
      <c r="E865" s="90" t="s">
        <v>12204</v>
      </c>
      <c r="F865" s="91">
        <v>45968</v>
      </c>
      <c r="G865" s="92">
        <v>67324</v>
      </c>
      <c r="H865" s="90" t="s">
        <v>11</v>
      </c>
      <c r="I8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5" s="90" t="s">
        <v>11027</v>
      </c>
    </row>
    <row r="866" spans="1:11">
      <c r="A866" s="90" t="s">
        <v>6966</v>
      </c>
      <c r="B866" s="90" t="s">
        <v>6967</v>
      </c>
      <c r="C866" s="90" t="s">
        <v>6</v>
      </c>
      <c r="D866" s="90" t="str">
        <f>VLOOKUP(Tabela1[[#This Row],[Origem]],'Perguntas 1 a 24'!$J$28:$K$34,2,FALSE)</f>
        <v>Nordeste</v>
      </c>
      <c r="E866" s="90" t="s">
        <v>12205</v>
      </c>
      <c r="F866" s="91">
        <v>45970</v>
      </c>
      <c r="G866" s="92">
        <v>76375</v>
      </c>
      <c r="H866" s="90" t="s">
        <v>11</v>
      </c>
      <c r="I8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6" s="90" t="s">
        <v>6967</v>
      </c>
    </row>
    <row r="867" spans="1:11">
      <c r="A867" s="90" t="s">
        <v>7840</v>
      </c>
      <c r="B867" s="90" t="s">
        <v>7841</v>
      </c>
      <c r="C867" s="90" t="s">
        <v>16</v>
      </c>
      <c r="D867" s="90" t="str">
        <f>VLOOKUP(Tabela1[[#This Row],[Origem]],'Perguntas 1 a 24'!$J$28:$K$34,2,FALSE)</f>
        <v>Sudeste</v>
      </c>
      <c r="E867" s="90" t="s">
        <v>12206</v>
      </c>
      <c r="F867" s="91">
        <v>45970</v>
      </c>
      <c r="G867" s="92">
        <v>68037</v>
      </c>
      <c r="H867" s="90" t="s">
        <v>9</v>
      </c>
      <c r="I8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7" s="90" t="s">
        <v>7841</v>
      </c>
    </row>
    <row r="868" spans="1:11">
      <c r="A868" s="90" t="s">
        <v>11157</v>
      </c>
      <c r="B868" s="90" t="s">
        <v>11158</v>
      </c>
      <c r="C868" s="90" t="s">
        <v>15</v>
      </c>
      <c r="D868" s="90" t="str">
        <f>VLOOKUP(Tabela1[[#This Row],[Origem]],'Perguntas 1 a 24'!$J$28:$K$34,2,FALSE)</f>
        <v>Sudeste</v>
      </c>
      <c r="E868" s="90" t="s">
        <v>12207</v>
      </c>
      <c r="F868" s="91">
        <v>45971</v>
      </c>
      <c r="G868" s="92">
        <v>73619</v>
      </c>
      <c r="H868" s="90" t="s">
        <v>9</v>
      </c>
      <c r="I8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8" s="90" t="s">
        <v>11158</v>
      </c>
    </row>
    <row r="869" spans="1:11">
      <c r="A869" s="90" t="s">
        <v>11323</v>
      </c>
      <c r="B869" s="90" t="s">
        <v>11324</v>
      </c>
      <c r="C869" s="90" t="s">
        <v>6</v>
      </c>
      <c r="D869" s="90" t="str">
        <f>VLOOKUP(Tabela1[[#This Row],[Origem]],'Perguntas 1 a 24'!$J$28:$K$34,2,FALSE)</f>
        <v>Nordeste</v>
      </c>
      <c r="E869" s="90" t="s">
        <v>12208</v>
      </c>
      <c r="F869" s="91">
        <v>45973</v>
      </c>
      <c r="G869" s="92">
        <v>96082</v>
      </c>
      <c r="H869" s="90" t="s">
        <v>11</v>
      </c>
      <c r="I8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69" s="90" t="s">
        <v>11324</v>
      </c>
    </row>
    <row r="870" spans="1:11">
      <c r="A870" s="90" t="s">
        <v>4640</v>
      </c>
      <c r="B870" s="90" t="s">
        <v>4641</v>
      </c>
      <c r="C870" s="90" t="s">
        <v>12</v>
      </c>
      <c r="D870" s="90" t="str">
        <f>VLOOKUP(Tabela1[[#This Row],[Origem]],'Perguntas 1 a 24'!$J$28:$K$34,2,FALSE)</f>
        <v>Sudeste</v>
      </c>
      <c r="E870" s="90" t="s">
        <v>12209</v>
      </c>
      <c r="F870" s="91">
        <v>45974</v>
      </c>
      <c r="G870" s="92">
        <v>109675</v>
      </c>
      <c r="H870" s="90" t="s">
        <v>9</v>
      </c>
      <c r="I8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70" s="90" t="s">
        <v>4641</v>
      </c>
    </row>
    <row r="871" spans="1:11">
      <c r="A871" s="90" t="s">
        <v>6286</v>
      </c>
      <c r="B871" s="90" t="s">
        <v>6287</v>
      </c>
      <c r="C871" s="90" t="s">
        <v>8</v>
      </c>
      <c r="D871" s="90" t="str">
        <f>VLOOKUP(Tabela1[[#This Row],[Origem]],'Perguntas 1 a 24'!$J$28:$K$34,2,FALSE)</f>
        <v>Nordeste</v>
      </c>
      <c r="E871" s="90" t="s">
        <v>12210</v>
      </c>
      <c r="F871" s="91">
        <v>45974</v>
      </c>
      <c r="G871" s="92">
        <v>72962</v>
      </c>
      <c r="H871" s="90" t="s">
        <v>9</v>
      </c>
      <c r="I8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71" s="90" t="s">
        <v>6287</v>
      </c>
    </row>
    <row r="872" spans="1:11">
      <c r="A872" s="90" t="s">
        <v>8386</v>
      </c>
      <c r="B872" s="90" t="s">
        <v>8387</v>
      </c>
      <c r="C872" s="90" t="s">
        <v>8</v>
      </c>
      <c r="D872" s="90" t="str">
        <f>VLOOKUP(Tabela1[[#This Row],[Origem]],'Perguntas 1 a 24'!$J$28:$K$34,2,FALSE)</f>
        <v>Nordeste</v>
      </c>
      <c r="E872" s="90" t="s">
        <v>12211</v>
      </c>
      <c r="F872" s="91">
        <v>45974</v>
      </c>
      <c r="G872" s="92">
        <v>66347</v>
      </c>
      <c r="H872" s="90" t="s">
        <v>14</v>
      </c>
      <c r="I8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72" s="90" t="s">
        <v>8387</v>
      </c>
    </row>
    <row r="873" spans="1:11">
      <c r="A873" s="90" t="s">
        <v>10579</v>
      </c>
      <c r="B873" s="90" t="s">
        <v>10580</v>
      </c>
      <c r="C873" s="90" t="s">
        <v>6</v>
      </c>
      <c r="D873" s="90" t="str">
        <f>VLOOKUP(Tabela1[[#This Row],[Origem]],'Perguntas 1 a 24'!$J$28:$K$34,2,FALSE)</f>
        <v>Nordeste</v>
      </c>
      <c r="E873" s="90" t="s">
        <v>12212</v>
      </c>
      <c r="F873" s="91">
        <v>45974</v>
      </c>
      <c r="G873" s="92">
        <v>115839</v>
      </c>
      <c r="H873" s="90" t="s">
        <v>11</v>
      </c>
      <c r="I8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73" s="90" t="s">
        <v>10580</v>
      </c>
    </row>
    <row r="874" spans="1:11">
      <c r="A874" s="90" t="s">
        <v>11265</v>
      </c>
      <c r="B874" s="90" t="s">
        <v>11266</v>
      </c>
      <c r="C874" s="90" t="s">
        <v>6</v>
      </c>
      <c r="D874" s="90" t="str">
        <f>VLOOKUP(Tabela1[[#This Row],[Origem]],'Perguntas 1 a 24'!$J$28:$K$34,2,FALSE)</f>
        <v>Nordeste</v>
      </c>
      <c r="E874" s="90" t="s">
        <v>12213</v>
      </c>
      <c r="F874" s="91">
        <v>45974</v>
      </c>
      <c r="G874" s="92">
        <v>26978</v>
      </c>
      <c r="H874" s="90" t="s">
        <v>9</v>
      </c>
      <c r="I8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74" s="90" t="s">
        <v>11266</v>
      </c>
    </row>
    <row r="875" spans="1:11">
      <c r="A875" s="90" t="s">
        <v>3850</v>
      </c>
      <c r="B875" s="90" t="s">
        <v>3851</v>
      </c>
      <c r="C875" s="90" t="s">
        <v>16</v>
      </c>
      <c r="D875" s="90" t="str">
        <f>VLOOKUP(Tabela1[[#This Row],[Origem]],'Perguntas 1 a 24'!$J$28:$K$34,2,FALSE)</f>
        <v>Sudeste</v>
      </c>
      <c r="E875" s="90" t="s">
        <v>12214</v>
      </c>
      <c r="F875" s="91">
        <v>45976</v>
      </c>
      <c r="G875" s="92">
        <v>79228</v>
      </c>
      <c r="H875" s="90" t="s">
        <v>7</v>
      </c>
      <c r="I8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75" s="90" t="s">
        <v>3851</v>
      </c>
    </row>
    <row r="876" spans="1:11">
      <c r="A876" s="90" t="s">
        <v>8530</v>
      </c>
      <c r="B876" s="90" t="s">
        <v>8531</v>
      </c>
      <c r="C876" s="90" t="s">
        <v>6</v>
      </c>
      <c r="D876" s="90" t="str">
        <f>VLOOKUP(Tabela1[[#This Row],[Origem]],'Perguntas 1 a 24'!$J$28:$K$34,2,FALSE)</f>
        <v>Nordeste</v>
      </c>
      <c r="E876" s="90" t="s">
        <v>12215</v>
      </c>
      <c r="F876" s="91">
        <v>45977</v>
      </c>
      <c r="G876" s="92">
        <v>63167</v>
      </c>
      <c r="H876" s="90" t="s">
        <v>11</v>
      </c>
      <c r="I8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76" s="90" t="s">
        <v>8531</v>
      </c>
    </row>
    <row r="877" spans="1:11">
      <c r="A877" s="90" t="s">
        <v>8663</v>
      </c>
      <c r="B877" s="90" t="s">
        <v>8664</v>
      </c>
      <c r="C877" s="90" t="s">
        <v>8</v>
      </c>
      <c r="D877" s="90" t="str">
        <f>VLOOKUP(Tabela1[[#This Row],[Origem]],'Perguntas 1 a 24'!$J$28:$K$34,2,FALSE)</f>
        <v>Nordeste</v>
      </c>
      <c r="E877" s="90" t="s">
        <v>12216</v>
      </c>
      <c r="F877" s="91">
        <v>45977</v>
      </c>
      <c r="G877" s="92">
        <v>31779</v>
      </c>
      <c r="H877" s="90" t="s">
        <v>11</v>
      </c>
      <c r="I8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77" s="90" t="s">
        <v>8664</v>
      </c>
    </row>
    <row r="878" spans="1:11">
      <c r="A878" s="90" t="s">
        <v>9331</v>
      </c>
      <c r="B878" s="90" t="s">
        <v>9332</v>
      </c>
      <c r="C878" s="90" t="s">
        <v>13</v>
      </c>
      <c r="D878" s="90" t="str">
        <f>VLOOKUP(Tabela1[[#This Row],[Origem]],'Perguntas 1 a 24'!$J$28:$K$34,2,FALSE)</f>
        <v>Sudeste</v>
      </c>
      <c r="E878" s="90" t="s">
        <v>12217</v>
      </c>
      <c r="F878" s="91">
        <v>45977</v>
      </c>
      <c r="G878" s="92">
        <v>50535</v>
      </c>
      <c r="H878" s="90" t="s">
        <v>14</v>
      </c>
      <c r="I8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78" s="90" t="s">
        <v>9332</v>
      </c>
    </row>
    <row r="879" spans="1:11">
      <c r="A879" s="90" t="s">
        <v>7680</v>
      </c>
      <c r="B879" s="90" t="s">
        <v>7681</v>
      </c>
      <c r="C879" s="90" t="s">
        <v>10</v>
      </c>
      <c r="D879" s="90" t="str">
        <f>VLOOKUP(Tabela1[[#This Row],[Origem]],'Perguntas 1 a 24'!$J$28:$K$34,2,FALSE)</f>
        <v>Centro-Oeste</v>
      </c>
      <c r="E879" s="90" t="s">
        <v>12218</v>
      </c>
      <c r="F879" s="91">
        <v>45978</v>
      </c>
      <c r="G879" s="92">
        <v>50502</v>
      </c>
      <c r="H879" s="90" t="s">
        <v>9</v>
      </c>
      <c r="I8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79" s="90" t="s">
        <v>7681</v>
      </c>
    </row>
    <row r="880" spans="1:11">
      <c r="A880" s="90" t="s">
        <v>9627</v>
      </c>
      <c r="B880" s="90" t="s">
        <v>9628</v>
      </c>
      <c r="C880" s="90" t="s">
        <v>12</v>
      </c>
      <c r="D880" s="90" t="str">
        <f>VLOOKUP(Tabela1[[#This Row],[Origem]],'Perguntas 1 a 24'!$J$28:$K$34,2,FALSE)</f>
        <v>Sudeste</v>
      </c>
      <c r="E880" s="90" t="s">
        <v>12219</v>
      </c>
      <c r="F880" s="91">
        <v>45978</v>
      </c>
      <c r="G880" s="92">
        <v>60185</v>
      </c>
      <c r="H880" s="90" t="s">
        <v>7</v>
      </c>
      <c r="I8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0" s="90" t="s">
        <v>9628</v>
      </c>
    </row>
    <row r="881" spans="1:11">
      <c r="A881" s="90" t="s">
        <v>6020</v>
      </c>
      <c r="B881" s="90" t="s">
        <v>6021</v>
      </c>
      <c r="C881" s="90" t="s">
        <v>15</v>
      </c>
      <c r="D881" s="90" t="str">
        <f>VLOOKUP(Tabela1[[#This Row],[Origem]],'Perguntas 1 a 24'!$J$28:$K$34,2,FALSE)</f>
        <v>Sudeste</v>
      </c>
      <c r="E881" s="90" t="s">
        <v>12220</v>
      </c>
      <c r="F881" s="91">
        <v>45979</v>
      </c>
      <c r="G881" s="92">
        <v>92612</v>
      </c>
      <c r="H881" s="90" t="s">
        <v>11</v>
      </c>
      <c r="I8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1" s="90" t="s">
        <v>6021</v>
      </c>
    </row>
    <row r="882" spans="1:11">
      <c r="A882" s="90" t="s">
        <v>10984</v>
      </c>
      <c r="B882" s="90" t="s">
        <v>10985</v>
      </c>
      <c r="C882" s="90" t="s">
        <v>12</v>
      </c>
      <c r="D882" s="90" t="str">
        <f>VLOOKUP(Tabela1[[#This Row],[Origem]],'Perguntas 1 a 24'!$J$28:$K$34,2,FALSE)</f>
        <v>Sudeste</v>
      </c>
      <c r="E882" s="90" t="s">
        <v>12221</v>
      </c>
      <c r="F882" s="91">
        <v>45979</v>
      </c>
      <c r="G882" s="92">
        <v>59685</v>
      </c>
      <c r="H882" s="90" t="s">
        <v>7</v>
      </c>
      <c r="I8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2" s="90" t="s">
        <v>10985</v>
      </c>
    </row>
    <row r="883" spans="1:11">
      <c r="A883" s="90" t="s">
        <v>4554</v>
      </c>
      <c r="B883" s="90" t="s">
        <v>4555</v>
      </c>
      <c r="C883" s="90" t="s">
        <v>6</v>
      </c>
      <c r="D883" s="90" t="str">
        <f>VLOOKUP(Tabela1[[#This Row],[Origem]],'Perguntas 1 a 24'!$J$28:$K$34,2,FALSE)</f>
        <v>Nordeste</v>
      </c>
      <c r="E883" s="90" t="s">
        <v>12222</v>
      </c>
      <c r="F883" s="91">
        <v>45980</v>
      </c>
      <c r="G883" s="92">
        <v>51137</v>
      </c>
      <c r="H883" s="90" t="s">
        <v>9</v>
      </c>
      <c r="I8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3" s="90" t="s">
        <v>4555</v>
      </c>
    </row>
    <row r="884" spans="1:11">
      <c r="A884" s="90" t="s">
        <v>9719</v>
      </c>
      <c r="B884" s="90" t="s">
        <v>9720</v>
      </c>
      <c r="C884" s="90" t="s">
        <v>13</v>
      </c>
      <c r="D884" s="90" t="str">
        <f>VLOOKUP(Tabela1[[#This Row],[Origem]],'Perguntas 1 a 24'!$J$28:$K$34,2,FALSE)</f>
        <v>Sudeste</v>
      </c>
      <c r="E884" s="90" t="s">
        <v>12223</v>
      </c>
      <c r="F884" s="91">
        <v>45981</v>
      </c>
      <c r="G884" s="92">
        <v>58787</v>
      </c>
      <c r="H884" s="90" t="s">
        <v>7</v>
      </c>
      <c r="I8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4" s="90" t="s">
        <v>9720</v>
      </c>
    </row>
    <row r="885" spans="1:11">
      <c r="A885" s="90" t="s">
        <v>5636</v>
      </c>
      <c r="B885" s="90" t="s">
        <v>5637</v>
      </c>
      <c r="C885" s="90" t="s">
        <v>10</v>
      </c>
      <c r="D885" s="90" t="str">
        <f>VLOOKUP(Tabela1[[#This Row],[Origem]],'Perguntas 1 a 24'!$J$28:$K$34,2,FALSE)</f>
        <v>Centro-Oeste</v>
      </c>
      <c r="E885" s="90" t="s">
        <v>12224</v>
      </c>
      <c r="F885" s="91">
        <v>45982</v>
      </c>
      <c r="G885" s="92">
        <v>73355</v>
      </c>
      <c r="H885" s="90" t="s">
        <v>11</v>
      </c>
      <c r="I8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5" s="90" t="s">
        <v>5637</v>
      </c>
    </row>
    <row r="886" spans="1:11">
      <c r="A886" s="90" t="s">
        <v>8046</v>
      </c>
      <c r="B886" s="90" t="s">
        <v>8047</v>
      </c>
      <c r="C886" s="90" t="s">
        <v>15</v>
      </c>
      <c r="D886" s="90" t="str">
        <f>VLOOKUP(Tabela1[[#This Row],[Origem]],'Perguntas 1 a 24'!$J$28:$K$34,2,FALSE)</f>
        <v>Sudeste</v>
      </c>
      <c r="E886" s="90" t="s">
        <v>12225</v>
      </c>
      <c r="F886" s="91">
        <v>45983</v>
      </c>
      <c r="G886" s="92">
        <v>87093</v>
      </c>
      <c r="H886" s="90" t="s">
        <v>9</v>
      </c>
      <c r="I8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6" s="90" t="s">
        <v>8047</v>
      </c>
    </row>
    <row r="887" spans="1:11">
      <c r="A887" s="90" t="s">
        <v>5240</v>
      </c>
      <c r="B887" s="90" t="s">
        <v>5241</v>
      </c>
      <c r="C887" s="90" t="s">
        <v>15</v>
      </c>
      <c r="D887" s="90" t="str">
        <f>VLOOKUP(Tabela1[[#This Row],[Origem]],'Perguntas 1 a 24'!$J$28:$K$34,2,FALSE)</f>
        <v>Sudeste</v>
      </c>
      <c r="E887" s="90" t="s">
        <v>12226</v>
      </c>
      <c r="F887" s="91">
        <v>45985</v>
      </c>
      <c r="G887" s="92">
        <v>77287</v>
      </c>
      <c r="H887" s="90" t="s">
        <v>9</v>
      </c>
      <c r="I8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7" s="90" t="s">
        <v>5241</v>
      </c>
    </row>
    <row r="888" spans="1:11">
      <c r="A888" s="90" t="s">
        <v>8951</v>
      </c>
      <c r="B888" s="90" t="s">
        <v>8952</v>
      </c>
      <c r="C888" s="90" t="s">
        <v>8</v>
      </c>
      <c r="D888" s="90" t="str">
        <f>VLOOKUP(Tabela1[[#This Row],[Origem]],'Perguntas 1 a 24'!$J$28:$K$34,2,FALSE)</f>
        <v>Nordeste</v>
      </c>
      <c r="E888" s="90" t="s">
        <v>12227</v>
      </c>
      <c r="F888" s="91">
        <v>45985</v>
      </c>
      <c r="G888" s="92">
        <v>77000</v>
      </c>
      <c r="H888" s="90" t="s">
        <v>11</v>
      </c>
      <c r="I8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8" s="90" t="s">
        <v>8952</v>
      </c>
    </row>
    <row r="889" spans="1:11">
      <c r="A889" s="90" t="s">
        <v>10673</v>
      </c>
      <c r="B889" s="90" t="s">
        <v>10674</v>
      </c>
      <c r="C889" s="90" t="s">
        <v>6</v>
      </c>
      <c r="D889" s="90" t="str">
        <f>VLOOKUP(Tabela1[[#This Row],[Origem]],'Perguntas 1 a 24'!$J$28:$K$34,2,FALSE)</f>
        <v>Nordeste</v>
      </c>
      <c r="E889" s="90" t="s">
        <v>12228</v>
      </c>
      <c r="F889" s="91">
        <v>45985</v>
      </c>
      <c r="G889" s="92">
        <v>58960</v>
      </c>
      <c r="H889" s="90" t="s">
        <v>7</v>
      </c>
      <c r="I8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89" s="90" t="s">
        <v>10674</v>
      </c>
    </row>
    <row r="890" spans="1:11">
      <c r="A890" s="90" t="s">
        <v>4303</v>
      </c>
      <c r="B890" s="90" t="s">
        <v>4304</v>
      </c>
      <c r="C890" s="90" t="s">
        <v>16</v>
      </c>
      <c r="D890" s="90" t="str">
        <f>VLOOKUP(Tabela1[[#This Row],[Origem]],'Perguntas 1 a 24'!$J$28:$K$34,2,FALSE)</f>
        <v>Sudeste</v>
      </c>
      <c r="E890" s="90" t="s">
        <v>12229</v>
      </c>
      <c r="F890" s="91">
        <v>45987</v>
      </c>
      <c r="G890" s="92">
        <v>106481</v>
      </c>
      <c r="H890" s="90" t="s">
        <v>9</v>
      </c>
      <c r="I8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0" s="90" t="s">
        <v>4304</v>
      </c>
    </row>
    <row r="891" spans="1:11">
      <c r="A891" s="90" t="s">
        <v>7014</v>
      </c>
      <c r="B891" s="90" t="s">
        <v>7015</v>
      </c>
      <c r="C891" s="90" t="s">
        <v>10</v>
      </c>
      <c r="D891" s="90" t="str">
        <f>VLOOKUP(Tabela1[[#This Row],[Origem]],'Perguntas 1 a 24'!$J$28:$K$34,2,FALSE)</f>
        <v>Centro-Oeste</v>
      </c>
      <c r="E891" s="90" t="s">
        <v>12230</v>
      </c>
      <c r="F891" s="91">
        <v>45988</v>
      </c>
      <c r="G891" s="92">
        <v>60010</v>
      </c>
      <c r="H891" s="90" t="s">
        <v>14</v>
      </c>
      <c r="I8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1" s="90" t="s">
        <v>7015</v>
      </c>
    </row>
    <row r="892" spans="1:11">
      <c r="A892" s="90" t="s">
        <v>5858</v>
      </c>
      <c r="B892" s="90" t="s">
        <v>5859</v>
      </c>
      <c r="C892" s="90" t="s">
        <v>10</v>
      </c>
      <c r="D892" s="90" t="str">
        <f>VLOOKUP(Tabela1[[#This Row],[Origem]],'Perguntas 1 a 24'!$J$28:$K$34,2,FALSE)</f>
        <v>Centro-Oeste</v>
      </c>
      <c r="E892" s="90" t="s">
        <v>12231</v>
      </c>
      <c r="F892" s="91">
        <v>45989</v>
      </c>
      <c r="G892" s="92">
        <v>44259</v>
      </c>
      <c r="H892" s="90" t="s">
        <v>7</v>
      </c>
      <c r="I8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92" s="90" t="s">
        <v>5859</v>
      </c>
    </row>
    <row r="893" spans="1:11">
      <c r="A893" s="90" t="s">
        <v>10161</v>
      </c>
      <c r="B893" s="90" t="s">
        <v>10162</v>
      </c>
      <c r="C893" s="90" t="s">
        <v>13</v>
      </c>
      <c r="D893" s="90" t="str">
        <f>VLOOKUP(Tabela1[[#This Row],[Origem]],'Perguntas 1 a 24'!$J$28:$K$34,2,FALSE)</f>
        <v>Sudeste</v>
      </c>
      <c r="E893" s="90" t="s">
        <v>12232</v>
      </c>
      <c r="F893" s="91">
        <v>45991</v>
      </c>
      <c r="G893" s="92">
        <v>103321</v>
      </c>
      <c r="H893" s="90" t="s">
        <v>7</v>
      </c>
      <c r="I8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3" s="90" t="s">
        <v>10162</v>
      </c>
    </row>
    <row r="894" spans="1:11">
      <c r="A894" s="90" t="s">
        <v>10803</v>
      </c>
      <c r="B894" s="90" t="s">
        <v>10804</v>
      </c>
      <c r="C894" s="90" t="s">
        <v>8</v>
      </c>
      <c r="D894" s="90" t="str">
        <f>VLOOKUP(Tabela1[[#This Row],[Origem]],'Perguntas 1 a 24'!$J$28:$K$34,2,FALSE)</f>
        <v>Nordeste</v>
      </c>
      <c r="E894" s="90" t="s">
        <v>12233</v>
      </c>
      <c r="F894" s="91">
        <v>45991</v>
      </c>
      <c r="G894" s="92">
        <v>90638</v>
      </c>
      <c r="H894" s="90" t="s">
        <v>11</v>
      </c>
      <c r="I8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4" s="90" t="s">
        <v>10804</v>
      </c>
    </row>
    <row r="895" spans="1:11">
      <c r="A895" s="90" t="s">
        <v>7342</v>
      </c>
      <c r="B895" s="90" t="s">
        <v>7343</v>
      </c>
      <c r="C895" s="90" t="s">
        <v>13</v>
      </c>
      <c r="D895" s="90" t="str">
        <f>VLOOKUP(Tabela1[[#This Row],[Origem]],'Perguntas 1 a 24'!$J$28:$K$34,2,FALSE)</f>
        <v>Sudeste</v>
      </c>
      <c r="E895" s="90" t="s">
        <v>12234</v>
      </c>
      <c r="F895" s="91">
        <v>45992</v>
      </c>
      <c r="G895" s="92">
        <v>87525</v>
      </c>
      <c r="H895" s="90" t="s">
        <v>11</v>
      </c>
      <c r="I8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5" s="90" t="s">
        <v>7343</v>
      </c>
    </row>
    <row r="896" spans="1:11">
      <c r="A896" s="90" t="s">
        <v>8553</v>
      </c>
      <c r="B896" s="90" t="s">
        <v>8554</v>
      </c>
      <c r="C896" s="90" t="s">
        <v>13</v>
      </c>
      <c r="D896" s="90" t="str">
        <f>VLOOKUP(Tabela1[[#This Row],[Origem]],'Perguntas 1 a 24'!$J$28:$K$34,2,FALSE)</f>
        <v>Sudeste</v>
      </c>
      <c r="E896" s="90" t="s">
        <v>12235</v>
      </c>
      <c r="F896" s="91">
        <v>45992</v>
      </c>
      <c r="G896" s="92">
        <v>47069</v>
      </c>
      <c r="H896" s="90" t="s">
        <v>7</v>
      </c>
      <c r="I8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896" s="90" t="s">
        <v>8554</v>
      </c>
    </row>
    <row r="897" spans="1:11">
      <c r="A897" s="90" t="s">
        <v>4347</v>
      </c>
      <c r="B897" s="90" t="s">
        <v>4348</v>
      </c>
      <c r="C897" s="90" t="s">
        <v>16</v>
      </c>
      <c r="D897" s="90" t="str">
        <f>VLOOKUP(Tabela1[[#This Row],[Origem]],'Perguntas 1 a 24'!$J$28:$K$34,2,FALSE)</f>
        <v>Sudeste</v>
      </c>
      <c r="E897" s="90" t="s">
        <v>12236</v>
      </c>
      <c r="F897" s="91">
        <v>45993</v>
      </c>
      <c r="G897" s="92">
        <v>60697</v>
      </c>
      <c r="H897" s="90" t="s">
        <v>11</v>
      </c>
      <c r="I8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7" s="90" t="s">
        <v>4348</v>
      </c>
    </row>
    <row r="898" spans="1:11">
      <c r="A898" s="90" t="s">
        <v>6652</v>
      </c>
      <c r="B898" s="90" t="s">
        <v>6653</v>
      </c>
      <c r="C898" s="90" t="s">
        <v>8</v>
      </c>
      <c r="D898" s="90" t="str">
        <f>VLOOKUP(Tabela1[[#This Row],[Origem]],'Perguntas 1 a 24'!$J$28:$K$34,2,FALSE)</f>
        <v>Nordeste</v>
      </c>
      <c r="E898" s="90" t="s">
        <v>12237</v>
      </c>
      <c r="F898" s="91">
        <v>45994</v>
      </c>
      <c r="G898" s="92">
        <v>78989</v>
      </c>
      <c r="H898" s="90" t="s">
        <v>7</v>
      </c>
      <c r="I8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8" s="90" t="s">
        <v>6653</v>
      </c>
    </row>
    <row r="899" spans="1:11">
      <c r="A899" s="90" t="s">
        <v>5374</v>
      </c>
      <c r="B899" s="90" t="s">
        <v>5375</v>
      </c>
      <c r="C899" s="90" t="s">
        <v>12</v>
      </c>
      <c r="D899" s="90" t="str">
        <f>VLOOKUP(Tabela1[[#This Row],[Origem]],'Perguntas 1 a 24'!$J$28:$K$34,2,FALSE)</f>
        <v>Sudeste</v>
      </c>
      <c r="E899" s="90" t="s">
        <v>12238</v>
      </c>
      <c r="F899" s="91">
        <v>45995</v>
      </c>
      <c r="G899" s="92">
        <v>52367</v>
      </c>
      <c r="H899" s="90" t="s">
        <v>9</v>
      </c>
      <c r="I8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899" s="90" t="s">
        <v>5375</v>
      </c>
    </row>
    <row r="900" spans="1:11">
      <c r="A900" s="90" t="s">
        <v>9317</v>
      </c>
      <c r="B900" s="90" t="s">
        <v>9318</v>
      </c>
      <c r="C900" s="90" t="s">
        <v>10</v>
      </c>
      <c r="D900" s="90" t="str">
        <f>VLOOKUP(Tabela1[[#This Row],[Origem]],'Perguntas 1 a 24'!$J$28:$K$34,2,FALSE)</f>
        <v>Centro-Oeste</v>
      </c>
      <c r="E900" s="90" t="s">
        <v>12239</v>
      </c>
      <c r="F900" s="91">
        <v>45995</v>
      </c>
      <c r="G900" s="92">
        <v>53793</v>
      </c>
      <c r="H900" s="90" t="s">
        <v>11</v>
      </c>
      <c r="I9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0" s="90" t="s">
        <v>9318</v>
      </c>
    </row>
    <row r="901" spans="1:11">
      <c r="A901" s="90" t="s">
        <v>4558</v>
      </c>
      <c r="B901" s="90" t="s">
        <v>4559</v>
      </c>
      <c r="C901" s="90" t="s">
        <v>8</v>
      </c>
      <c r="D901" s="90" t="str">
        <f>VLOOKUP(Tabela1[[#This Row],[Origem]],'Perguntas 1 a 24'!$J$28:$K$34,2,FALSE)</f>
        <v>Nordeste</v>
      </c>
      <c r="E901" s="90" t="s">
        <v>12240</v>
      </c>
      <c r="F901" s="91">
        <v>45996</v>
      </c>
      <c r="G901" s="92">
        <v>67986</v>
      </c>
      <c r="H901" s="90" t="s">
        <v>9</v>
      </c>
      <c r="I9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1" s="90" t="s">
        <v>4559</v>
      </c>
    </row>
    <row r="902" spans="1:11">
      <c r="A902" s="90" t="s">
        <v>10125</v>
      </c>
      <c r="B902" s="90" t="s">
        <v>10126</v>
      </c>
      <c r="C902" s="90" t="s">
        <v>15</v>
      </c>
      <c r="D902" s="90" t="str">
        <f>VLOOKUP(Tabela1[[#This Row],[Origem]],'Perguntas 1 a 24'!$J$28:$K$34,2,FALSE)</f>
        <v>Sudeste</v>
      </c>
      <c r="E902" s="90" t="s">
        <v>12241</v>
      </c>
      <c r="F902" s="91">
        <v>45996</v>
      </c>
      <c r="G902" s="92">
        <v>116458</v>
      </c>
      <c r="H902" s="90" t="s">
        <v>11</v>
      </c>
      <c r="I9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2" s="90" t="s">
        <v>10126</v>
      </c>
    </row>
    <row r="903" spans="1:11">
      <c r="A903" s="90" t="s">
        <v>8360</v>
      </c>
      <c r="B903" s="90" t="s">
        <v>8361</v>
      </c>
      <c r="C903" s="90" t="s">
        <v>12</v>
      </c>
      <c r="D903" s="90" t="str">
        <f>VLOOKUP(Tabela1[[#This Row],[Origem]],'Perguntas 1 a 24'!$J$28:$K$34,2,FALSE)</f>
        <v>Sudeste</v>
      </c>
      <c r="E903" s="90" t="s">
        <v>12242</v>
      </c>
      <c r="F903" s="91">
        <v>45997</v>
      </c>
      <c r="G903" s="92">
        <v>79306</v>
      </c>
      <c r="H903" s="90" t="s">
        <v>9</v>
      </c>
      <c r="I9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3" s="90" t="s">
        <v>8361</v>
      </c>
    </row>
    <row r="904" spans="1:11">
      <c r="A904" s="90" t="s">
        <v>10323</v>
      </c>
      <c r="B904" s="90" t="s">
        <v>10324</v>
      </c>
      <c r="C904" s="90" t="s">
        <v>10</v>
      </c>
      <c r="D904" s="90" t="str">
        <f>VLOOKUP(Tabela1[[#This Row],[Origem]],'Perguntas 1 a 24'!$J$28:$K$34,2,FALSE)</f>
        <v>Centro-Oeste</v>
      </c>
      <c r="E904" s="90" t="s">
        <v>12243</v>
      </c>
      <c r="F904" s="91">
        <v>45997</v>
      </c>
      <c r="G904" s="92">
        <v>32011</v>
      </c>
      <c r="H904" s="90" t="s">
        <v>11</v>
      </c>
      <c r="I9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04" s="90" t="s">
        <v>10324</v>
      </c>
    </row>
    <row r="905" spans="1:11">
      <c r="A905" s="90" t="s">
        <v>8286</v>
      </c>
      <c r="B905" s="90" t="s">
        <v>8287</v>
      </c>
      <c r="C905" s="90" t="s">
        <v>15</v>
      </c>
      <c r="D905" s="90" t="str">
        <f>VLOOKUP(Tabela1[[#This Row],[Origem]],'Perguntas 1 a 24'!$J$28:$K$34,2,FALSE)</f>
        <v>Sudeste</v>
      </c>
      <c r="E905" s="90" t="s">
        <v>12244</v>
      </c>
      <c r="F905" s="91">
        <v>45999</v>
      </c>
      <c r="G905" s="92">
        <v>117057</v>
      </c>
      <c r="H905" s="90" t="s">
        <v>14</v>
      </c>
      <c r="I9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5" s="90" t="s">
        <v>8287</v>
      </c>
    </row>
    <row r="906" spans="1:11">
      <c r="A906" s="90" t="s">
        <v>9221</v>
      </c>
      <c r="B906" s="90" t="s">
        <v>9222</v>
      </c>
      <c r="C906" s="90" t="s">
        <v>10</v>
      </c>
      <c r="D906" s="90" t="str">
        <f>VLOOKUP(Tabela1[[#This Row],[Origem]],'Perguntas 1 a 24'!$J$28:$K$34,2,FALSE)</f>
        <v>Centro-Oeste</v>
      </c>
      <c r="E906" s="90" t="s">
        <v>12245</v>
      </c>
      <c r="F906" s="91">
        <v>45999</v>
      </c>
      <c r="G906" s="92">
        <v>83585</v>
      </c>
      <c r="H906" s="90" t="s">
        <v>9</v>
      </c>
      <c r="I9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6" s="90" t="s">
        <v>9222</v>
      </c>
    </row>
    <row r="907" spans="1:11">
      <c r="A907" s="90" t="s">
        <v>10015</v>
      </c>
      <c r="B907" s="90" t="s">
        <v>10016</v>
      </c>
      <c r="C907" s="90" t="s">
        <v>16</v>
      </c>
      <c r="D907" s="90" t="str">
        <f>VLOOKUP(Tabela1[[#This Row],[Origem]],'Perguntas 1 a 24'!$J$28:$K$34,2,FALSE)</f>
        <v>Sudeste</v>
      </c>
      <c r="E907" s="90" t="s">
        <v>12246</v>
      </c>
      <c r="F907" s="91">
        <v>45999</v>
      </c>
      <c r="G907" s="92">
        <v>60918</v>
      </c>
      <c r="H907" s="90" t="s">
        <v>11</v>
      </c>
      <c r="I9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7" s="90" t="s">
        <v>10016</v>
      </c>
    </row>
    <row r="908" spans="1:11">
      <c r="A908" s="90" t="s">
        <v>10921</v>
      </c>
      <c r="B908" s="90" t="s">
        <v>10922</v>
      </c>
      <c r="C908" s="90" t="s">
        <v>13</v>
      </c>
      <c r="D908" s="90" t="str">
        <f>VLOOKUP(Tabela1[[#This Row],[Origem]],'Perguntas 1 a 24'!$J$28:$K$34,2,FALSE)</f>
        <v>Sudeste</v>
      </c>
      <c r="E908" s="90" t="s">
        <v>12247</v>
      </c>
      <c r="F908" s="91">
        <v>45999</v>
      </c>
      <c r="G908" s="92">
        <v>67129</v>
      </c>
      <c r="H908" s="90" t="s">
        <v>11</v>
      </c>
      <c r="I9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8" s="90" t="s">
        <v>10922</v>
      </c>
    </row>
    <row r="909" spans="1:11">
      <c r="A909" s="90" t="s">
        <v>11000</v>
      </c>
      <c r="B909" s="90" t="s">
        <v>11001</v>
      </c>
      <c r="C909" s="90" t="s">
        <v>12</v>
      </c>
      <c r="D909" s="90" t="str">
        <f>VLOOKUP(Tabela1[[#This Row],[Origem]],'Perguntas 1 a 24'!$J$28:$K$34,2,FALSE)</f>
        <v>Sudeste</v>
      </c>
      <c r="E909" s="90" t="s">
        <v>12248</v>
      </c>
      <c r="F909" s="91">
        <v>45999</v>
      </c>
      <c r="G909" s="92">
        <v>79971</v>
      </c>
      <c r="H909" s="90" t="s">
        <v>9</v>
      </c>
      <c r="I9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09" s="90" t="s">
        <v>11001</v>
      </c>
    </row>
    <row r="910" spans="1:11">
      <c r="A910" s="90" t="s">
        <v>6118</v>
      </c>
      <c r="B910" s="90" t="s">
        <v>6119</v>
      </c>
      <c r="C910" s="90" t="s">
        <v>16</v>
      </c>
      <c r="D910" s="90" t="str">
        <f>VLOOKUP(Tabela1[[#This Row],[Origem]],'Perguntas 1 a 24'!$J$28:$K$34,2,FALSE)</f>
        <v>Sudeste</v>
      </c>
      <c r="E910" s="90" t="s">
        <v>12249</v>
      </c>
      <c r="F910" s="91">
        <v>46000</v>
      </c>
      <c r="G910" s="92">
        <v>34898</v>
      </c>
      <c r="H910" s="90" t="s">
        <v>9</v>
      </c>
      <c r="I9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10" s="90" t="s">
        <v>6119</v>
      </c>
    </row>
    <row r="911" spans="1:11">
      <c r="A911" s="90" t="s">
        <v>6958</v>
      </c>
      <c r="B911" s="90" t="s">
        <v>6959</v>
      </c>
      <c r="C911" s="90" t="s">
        <v>15</v>
      </c>
      <c r="D911" s="90" t="str">
        <f>VLOOKUP(Tabela1[[#This Row],[Origem]],'Perguntas 1 a 24'!$J$28:$K$34,2,FALSE)</f>
        <v>Sudeste</v>
      </c>
      <c r="E911" s="90" t="s">
        <v>12250</v>
      </c>
      <c r="F911" s="91">
        <v>46000</v>
      </c>
      <c r="G911" s="92">
        <v>51529</v>
      </c>
      <c r="H911" s="90" t="s">
        <v>14</v>
      </c>
      <c r="I9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11" s="90" t="s">
        <v>6959</v>
      </c>
    </row>
    <row r="912" spans="1:11">
      <c r="A912" s="90" t="s">
        <v>8084</v>
      </c>
      <c r="B912" s="90" t="s">
        <v>8085</v>
      </c>
      <c r="C912" s="90" t="s">
        <v>6</v>
      </c>
      <c r="D912" s="90" t="str">
        <f>VLOOKUP(Tabela1[[#This Row],[Origem]],'Perguntas 1 a 24'!$J$28:$K$34,2,FALSE)</f>
        <v>Nordeste</v>
      </c>
      <c r="E912" s="90" t="s">
        <v>12251</v>
      </c>
      <c r="F912" s="91">
        <v>46002</v>
      </c>
      <c r="G912" s="92">
        <v>108949</v>
      </c>
      <c r="H912" s="90" t="s">
        <v>9</v>
      </c>
      <c r="I9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12" s="90" t="s">
        <v>8085</v>
      </c>
    </row>
    <row r="913" spans="1:11">
      <c r="A913" s="90" t="s">
        <v>9409</v>
      </c>
      <c r="B913" s="90" t="s">
        <v>9410</v>
      </c>
      <c r="C913" s="90" t="s">
        <v>12</v>
      </c>
      <c r="D913" s="90" t="str">
        <f>VLOOKUP(Tabela1[[#This Row],[Origem]],'Perguntas 1 a 24'!$J$28:$K$34,2,FALSE)</f>
        <v>Sudeste</v>
      </c>
      <c r="E913" s="90" t="s">
        <v>12252</v>
      </c>
      <c r="F913" s="91">
        <v>46002</v>
      </c>
      <c r="G913" s="92">
        <v>113917</v>
      </c>
      <c r="H913" s="90" t="s">
        <v>9</v>
      </c>
      <c r="I9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13" s="90" t="s">
        <v>9410</v>
      </c>
    </row>
    <row r="914" spans="1:11">
      <c r="A914" s="90" t="s">
        <v>4914</v>
      </c>
      <c r="B914" s="90" t="s">
        <v>4915</v>
      </c>
      <c r="C914" s="90" t="s">
        <v>10</v>
      </c>
      <c r="D914" s="90" t="str">
        <f>VLOOKUP(Tabela1[[#This Row],[Origem]],'Perguntas 1 a 24'!$J$28:$K$34,2,FALSE)</f>
        <v>Centro-Oeste</v>
      </c>
      <c r="E914" s="90" t="s">
        <v>12253</v>
      </c>
      <c r="F914" s="91">
        <v>46003</v>
      </c>
      <c r="G914" s="92">
        <v>54123</v>
      </c>
      <c r="H914" s="90" t="s">
        <v>7</v>
      </c>
      <c r="I9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14" s="90" t="s">
        <v>4915</v>
      </c>
    </row>
    <row r="915" spans="1:11">
      <c r="A915" s="90" t="s">
        <v>5120</v>
      </c>
      <c r="B915" s="90" t="s">
        <v>5121</v>
      </c>
      <c r="C915" s="90" t="s">
        <v>8</v>
      </c>
      <c r="D915" s="90" t="str">
        <f>VLOOKUP(Tabela1[[#This Row],[Origem]],'Perguntas 1 a 24'!$J$28:$K$34,2,FALSE)</f>
        <v>Nordeste</v>
      </c>
      <c r="E915" s="90" t="s">
        <v>12254</v>
      </c>
      <c r="F915" s="91">
        <v>46003</v>
      </c>
      <c r="G915" s="92">
        <v>41585</v>
      </c>
      <c r="H915" s="90" t="s">
        <v>14</v>
      </c>
      <c r="I9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15" s="90" t="s">
        <v>5121</v>
      </c>
    </row>
    <row r="916" spans="1:11">
      <c r="A916" s="90" t="s">
        <v>6122</v>
      </c>
      <c r="B916" s="90" t="s">
        <v>6123</v>
      </c>
      <c r="C916" s="90" t="s">
        <v>15</v>
      </c>
      <c r="D916" s="90" t="str">
        <f>VLOOKUP(Tabela1[[#This Row],[Origem]],'Perguntas 1 a 24'!$J$28:$K$34,2,FALSE)</f>
        <v>Sudeste</v>
      </c>
      <c r="E916" s="90" t="s">
        <v>12255</v>
      </c>
      <c r="F916" s="91">
        <v>46003</v>
      </c>
      <c r="G916" s="92">
        <v>32011</v>
      </c>
      <c r="H916" s="90" t="s">
        <v>9</v>
      </c>
      <c r="I9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16" s="90" t="s">
        <v>6123</v>
      </c>
    </row>
    <row r="917" spans="1:11">
      <c r="A917" s="90" t="s">
        <v>5132</v>
      </c>
      <c r="B917" s="90" t="s">
        <v>5133</v>
      </c>
      <c r="C917" s="90" t="s">
        <v>12</v>
      </c>
      <c r="D917" s="90" t="str">
        <f>VLOOKUP(Tabela1[[#This Row],[Origem]],'Perguntas 1 a 24'!$J$28:$K$34,2,FALSE)</f>
        <v>Sudeste</v>
      </c>
      <c r="E917" s="90" t="s">
        <v>12256</v>
      </c>
      <c r="F917" s="91">
        <v>46004</v>
      </c>
      <c r="G917" s="92">
        <v>24271</v>
      </c>
      <c r="H917" s="90" t="s">
        <v>7</v>
      </c>
      <c r="I9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17" s="90" t="s">
        <v>5133</v>
      </c>
    </row>
    <row r="918" spans="1:11">
      <c r="A918" s="90" t="s">
        <v>10219</v>
      </c>
      <c r="B918" s="90" t="s">
        <v>10220</v>
      </c>
      <c r="C918" s="90" t="s">
        <v>8</v>
      </c>
      <c r="D918" s="90" t="str">
        <f>VLOOKUP(Tabela1[[#This Row],[Origem]],'Perguntas 1 a 24'!$J$28:$K$34,2,FALSE)</f>
        <v>Nordeste</v>
      </c>
      <c r="E918" s="90" t="s">
        <v>12257</v>
      </c>
      <c r="F918" s="91">
        <v>46004</v>
      </c>
      <c r="G918" s="92">
        <v>34542</v>
      </c>
      <c r="H918" s="90" t="s">
        <v>11</v>
      </c>
      <c r="I9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18" s="90" t="s">
        <v>10220</v>
      </c>
    </row>
    <row r="919" spans="1:11">
      <c r="A919" s="90" t="s">
        <v>7012</v>
      </c>
      <c r="B919" s="90" t="s">
        <v>7013</v>
      </c>
      <c r="C919" s="90" t="s">
        <v>13</v>
      </c>
      <c r="D919" s="90" t="str">
        <f>VLOOKUP(Tabela1[[#This Row],[Origem]],'Perguntas 1 a 24'!$J$28:$K$34,2,FALSE)</f>
        <v>Sudeste</v>
      </c>
      <c r="E919" s="90" t="s">
        <v>12258</v>
      </c>
      <c r="F919" s="91">
        <v>46005</v>
      </c>
      <c r="G919" s="92">
        <v>56301</v>
      </c>
      <c r="H919" s="90" t="s">
        <v>9</v>
      </c>
      <c r="I9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19" s="90" t="s">
        <v>7013</v>
      </c>
    </row>
    <row r="920" spans="1:11">
      <c r="A920" s="90" t="s">
        <v>5812</v>
      </c>
      <c r="B920" s="90" t="s">
        <v>5813</v>
      </c>
      <c r="C920" s="90" t="s">
        <v>12</v>
      </c>
      <c r="D920" s="90" t="str">
        <f>VLOOKUP(Tabela1[[#This Row],[Origem]],'Perguntas 1 a 24'!$J$28:$K$34,2,FALSE)</f>
        <v>Sudeste</v>
      </c>
      <c r="E920" s="90" t="s">
        <v>12259</v>
      </c>
      <c r="F920" s="91">
        <v>46006</v>
      </c>
      <c r="G920" s="92">
        <v>24373</v>
      </c>
      <c r="H920" s="90" t="s">
        <v>14</v>
      </c>
      <c r="I9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20" s="90" t="s">
        <v>5813</v>
      </c>
    </row>
    <row r="921" spans="1:11">
      <c r="A921" s="90" t="s">
        <v>10965</v>
      </c>
      <c r="B921" s="90" t="s">
        <v>10966</v>
      </c>
      <c r="C921" s="90" t="s">
        <v>15</v>
      </c>
      <c r="D921" s="90" t="str">
        <f>VLOOKUP(Tabela1[[#This Row],[Origem]],'Perguntas 1 a 24'!$J$28:$K$34,2,FALSE)</f>
        <v>Sudeste</v>
      </c>
      <c r="E921" s="90" t="s">
        <v>12260</v>
      </c>
      <c r="F921" s="91">
        <v>46007</v>
      </c>
      <c r="G921" s="92">
        <v>112783</v>
      </c>
      <c r="H921" s="90" t="s">
        <v>7</v>
      </c>
      <c r="I9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21" s="90" t="s">
        <v>10966</v>
      </c>
    </row>
    <row r="922" spans="1:11">
      <c r="A922" s="90" t="s">
        <v>9543</v>
      </c>
      <c r="B922" s="90" t="s">
        <v>9544</v>
      </c>
      <c r="C922" s="90" t="s">
        <v>10</v>
      </c>
      <c r="D922" s="90" t="str">
        <f>VLOOKUP(Tabela1[[#This Row],[Origem]],'Perguntas 1 a 24'!$J$28:$K$34,2,FALSE)</f>
        <v>Centro-Oeste</v>
      </c>
      <c r="E922" s="90" t="s">
        <v>12261</v>
      </c>
      <c r="F922" s="91">
        <v>46008</v>
      </c>
      <c r="G922" s="92">
        <v>86698</v>
      </c>
      <c r="H922" s="90" t="s">
        <v>14</v>
      </c>
      <c r="I9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22" s="90" t="s">
        <v>9544</v>
      </c>
    </row>
    <row r="923" spans="1:11">
      <c r="A923" s="90" t="s">
        <v>9547</v>
      </c>
      <c r="B923" s="90" t="s">
        <v>9548</v>
      </c>
      <c r="C923" s="90" t="s">
        <v>12</v>
      </c>
      <c r="D923" s="90" t="str">
        <f>VLOOKUP(Tabela1[[#This Row],[Origem]],'Perguntas 1 a 24'!$J$28:$K$34,2,FALSE)</f>
        <v>Sudeste</v>
      </c>
      <c r="E923" s="90" t="s">
        <v>12262</v>
      </c>
      <c r="F923" s="91">
        <v>46009</v>
      </c>
      <c r="G923" s="92">
        <v>97222</v>
      </c>
      <c r="H923" s="90" t="s">
        <v>9</v>
      </c>
      <c r="I9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23" s="90" t="s">
        <v>9548</v>
      </c>
    </row>
    <row r="924" spans="1:11">
      <c r="A924" s="90" t="s">
        <v>5714</v>
      </c>
      <c r="B924" s="90" t="s">
        <v>5715</v>
      </c>
      <c r="C924" s="90" t="s">
        <v>16</v>
      </c>
      <c r="D924" s="90" t="str">
        <f>VLOOKUP(Tabela1[[#This Row],[Origem]],'Perguntas 1 a 24'!$J$28:$K$34,2,FALSE)</f>
        <v>Sudeste</v>
      </c>
      <c r="E924" s="90" t="s">
        <v>12263</v>
      </c>
      <c r="F924" s="91">
        <v>46010</v>
      </c>
      <c r="G924" s="92">
        <v>46468</v>
      </c>
      <c r="H924" s="90" t="s">
        <v>7</v>
      </c>
      <c r="I9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24" s="90" t="s">
        <v>5715</v>
      </c>
    </row>
    <row r="925" spans="1:11">
      <c r="A925" s="90" t="s">
        <v>4942</v>
      </c>
      <c r="B925" s="90" t="s">
        <v>4943</v>
      </c>
      <c r="C925" s="90" t="s">
        <v>16</v>
      </c>
      <c r="D925" s="90" t="str">
        <f>VLOOKUP(Tabela1[[#This Row],[Origem]],'Perguntas 1 a 24'!$J$28:$K$34,2,FALSE)</f>
        <v>Sudeste</v>
      </c>
      <c r="E925" s="90" t="s">
        <v>12264</v>
      </c>
      <c r="F925" s="91">
        <v>46011</v>
      </c>
      <c r="G925" s="92">
        <v>44376</v>
      </c>
      <c r="H925" s="90" t="s">
        <v>11</v>
      </c>
      <c r="I9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25" s="90" t="s">
        <v>4943</v>
      </c>
    </row>
    <row r="926" spans="1:11">
      <c r="A926" s="90" t="s">
        <v>6042</v>
      </c>
      <c r="B926" s="90" t="s">
        <v>6043</v>
      </c>
      <c r="C926" s="90" t="s">
        <v>16</v>
      </c>
      <c r="D926" s="90" t="str">
        <f>VLOOKUP(Tabela1[[#This Row],[Origem]],'Perguntas 1 a 24'!$J$28:$K$34,2,FALSE)</f>
        <v>Sudeste</v>
      </c>
      <c r="E926" s="90" t="s">
        <v>12265</v>
      </c>
      <c r="F926" s="91">
        <v>46011</v>
      </c>
      <c r="G926" s="92">
        <v>104078</v>
      </c>
      <c r="H926" s="90" t="s">
        <v>9</v>
      </c>
      <c r="I9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26" s="90" t="s">
        <v>6043</v>
      </c>
    </row>
    <row r="927" spans="1:11">
      <c r="A927" s="90" t="s">
        <v>7324</v>
      </c>
      <c r="B927" s="90" t="s">
        <v>7325</v>
      </c>
      <c r="C927" s="90" t="s">
        <v>16</v>
      </c>
      <c r="D927" s="90" t="str">
        <f>VLOOKUP(Tabela1[[#This Row],[Origem]],'Perguntas 1 a 24'!$J$28:$K$34,2,FALSE)</f>
        <v>Sudeste</v>
      </c>
      <c r="E927" s="90" t="s">
        <v>12266</v>
      </c>
      <c r="F927" s="91">
        <v>46011</v>
      </c>
      <c r="G927" s="92">
        <v>93788</v>
      </c>
      <c r="H927" s="90" t="s">
        <v>14</v>
      </c>
      <c r="I9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27" s="90" t="s">
        <v>7325</v>
      </c>
    </row>
    <row r="928" spans="1:11">
      <c r="A928" s="90" t="s">
        <v>6202</v>
      </c>
      <c r="B928" s="90" t="s">
        <v>6203</v>
      </c>
      <c r="C928" s="90" t="s">
        <v>6</v>
      </c>
      <c r="D928" s="90" t="str">
        <f>VLOOKUP(Tabela1[[#This Row],[Origem]],'Perguntas 1 a 24'!$J$28:$K$34,2,FALSE)</f>
        <v>Nordeste</v>
      </c>
      <c r="E928" s="90" t="s">
        <v>12267</v>
      </c>
      <c r="F928" s="91">
        <v>46012</v>
      </c>
      <c r="G928" s="92">
        <v>67383</v>
      </c>
      <c r="H928" s="90" t="s">
        <v>14</v>
      </c>
      <c r="I9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28" s="90" t="s">
        <v>6203</v>
      </c>
    </row>
    <row r="929" spans="1:11">
      <c r="A929" s="90" t="s">
        <v>7936</v>
      </c>
      <c r="B929" s="90" t="s">
        <v>7937</v>
      </c>
      <c r="C929" s="90" t="s">
        <v>15</v>
      </c>
      <c r="D929" s="90" t="str">
        <f>VLOOKUP(Tabela1[[#This Row],[Origem]],'Perguntas 1 a 24'!$J$28:$K$34,2,FALSE)</f>
        <v>Sudeste</v>
      </c>
      <c r="E929" s="90" t="s">
        <v>12268</v>
      </c>
      <c r="F929" s="91">
        <v>46013</v>
      </c>
      <c r="G929" s="92">
        <v>100620</v>
      </c>
      <c r="H929" s="90" t="s">
        <v>9</v>
      </c>
      <c r="I9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29" s="90" t="s">
        <v>7937</v>
      </c>
    </row>
    <row r="930" spans="1:11">
      <c r="A930" s="90" t="s">
        <v>9641</v>
      </c>
      <c r="B930" s="90" t="s">
        <v>9642</v>
      </c>
      <c r="C930" s="90" t="s">
        <v>15</v>
      </c>
      <c r="D930" s="90" t="str">
        <f>VLOOKUP(Tabela1[[#This Row],[Origem]],'Perguntas 1 a 24'!$J$28:$K$34,2,FALSE)</f>
        <v>Sudeste</v>
      </c>
      <c r="E930" s="90" t="s">
        <v>12269</v>
      </c>
      <c r="F930" s="91">
        <v>46013</v>
      </c>
      <c r="G930" s="92">
        <v>100070</v>
      </c>
      <c r="H930" s="90" t="s">
        <v>7</v>
      </c>
      <c r="I9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0" s="90" t="s">
        <v>9642</v>
      </c>
    </row>
    <row r="931" spans="1:11">
      <c r="A931" s="90" t="s">
        <v>9397</v>
      </c>
      <c r="B931" s="90" t="s">
        <v>9398</v>
      </c>
      <c r="C931" s="90" t="s">
        <v>16</v>
      </c>
      <c r="D931" s="90" t="str">
        <f>VLOOKUP(Tabela1[[#This Row],[Origem]],'Perguntas 1 a 24'!$J$28:$K$34,2,FALSE)</f>
        <v>Sudeste</v>
      </c>
      <c r="E931" s="90" t="s">
        <v>12270</v>
      </c>
      <c r="F931" s="91">
        <v>46014</v>
      </c>
      <c r="G931" s="92">
        <v>67640</v>
      </c>
      <c r="H931" s="90" t="s">
        <v>11</v>
      </c>
      <c r="I9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1" s="90" t="s">
        <v>9398</v>
      </c>
    </row>
    <row r="932" spans="1:11">
      <c r="A932" s="90" t="s">
        <v>10351</v>
      </c>
      <c r="B932" s="90" t="s">
        <v>10352</v>
      </c>
      <c r="C932" s="90" t="s">
        <v>6</v>
      </c>
      <c r="D932" s="90" t="str">
        <f>VLOOKUP(Tabela1[[#This Row],[Origem]],'Perguntas 1 a 24'!$J$28:$K$34,2,FALSE)</f>
        <v>Nordeste</v>
      </c>
      <c r="E932" s="90" t="s">
        <v>12271</v>
      </c>
      <c r="F932" s="91">
        <v>46014</v>
      </c>
      <c r="G932" s="92">
        <v>96181</v>
      </c>
      <c r="H932" s="90" t="s">
        <v>9</v>
      </c>
      <c r="I9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2" s="90" t="s">
        <v>10352</v>
      </c>
    </row>
    <row r="933" spans="1:11">
      <c r="A933" s="90" t="s">
        <v>10489</v>
      </c>
      <c r="B933" s="90" t="s">
        <v>10490</v>
      </c>
      <c r="C933" s="90" t="s">
        <v>8</v>
      </c>
      <c r="D933" s="90" t="str">
        <f>VLOOKUP(Tabela1[[#This Row],[Origem]],'Perguntas 1 a 24'!$J$28:$K$34,2,FALSE)</f>
        <v>Nordeste</v>
      </c>
      <c r="E933" s="90" t="s">
        <v>12272</v>
      </c>
      <c r="F933" s="91">
        <v>46014</v>
      </c>
      <c r="G933" s="92">
        <v>79243</v>
      </c>
      <c r="H933" s="90" t="s">
        <v>14</v>
      </c>
      <c r="I9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3" s="90" t="s">
        <v>10490</v>
      </c>
    </row>
    <row r="934" spans="1:11">
      <c r="A934" s="90" t="s">
        <v>8815</v>
      </c>
      <c r="B934" s="90" t="s">
        <v>8816</v>
      </c>
      <c r="C934" s="90" t="s">
        <v>15</v>
      </c>
      <c r="D934" s="90" t="str">
        <f>VLOOKUP(Tabela1[[#This Row],[Origem]],'Perguntas 1 a 24'!$J$28:$K$34,2,FALSE)</f>
        <v>Sudeste</v>
      </c>
      <c r="E934" s="90" t="s">
        <v>12273</v>
      </c>
      <c r="F934" s="91">
        <v>46015</v>
      </c>
      <c r="G934" s="92">
        <v>29707</v>
      </c>
      <c r="H934" s="90" t="s">
        <v>9</v>
      </c>
      <c r="I9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34" s="90" t="s">
        <v>8816</v>
      </c>
    </row>
    <row r="935" spans="1:11">
      <c r="A935" s="90" t="s">
        <v>8787</v>
      </c>
      <c r="B935" s="90" t="s">
        <v>8788</v>
      </c>
      <c r="C935" s="90" t="s">
        <v>8</v>
      </c>
      <c r="D935" s="90" t="str">
        <f>VLOOKUP(Tabela1[[#This Row],[Origem]],'Perguntas 1 a 24'!$J$28:$K$34,2,FALSE)</f>
        <v>Nordeste</v>
      </c>
      <c r="E935" s="90" t="s">
        <v>12274</v>
      </c>
      <c r="F935" s="91">
        <v>46016</v>
      </c>
      <c r="G935" s="92">
        <v>68729</v>
      </c>
      <c r="H935" s="90" t="s">
        <v>9</v>
      </c>
      <c r="I9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5" s="90" t="s">
        <v>8788</v>
      </c>
    </row>
    <row r="936" spans="1:11">
      <c r="A936" s="90" t="s">
        <v>9709</v>
      </c>
      <c r="B936" s="90" t="s">
        <v>9710</v>
      </c>
      <c r="C936" s="90" t="s">
        <v>8</v>
      </c>
      <c r="D936" s="90" t="str">
        <f>VLOOKUP(Tabela1[[#This Row],[Origem]],'Perguntas 1 a 24'!$J$28:$K$34,2,FALSE)</f>
        <v>Nordeste</v>
      </c>
      <c r="E936" s="90" t="s">
        <v>12275</v>
      </c>
      <c r="F936" s="91">
        <v>46016</v>
      </c>
      <c r="G936" s="92">
        <v>99423</v>
      </c>
      <c r="H936" s="90" t="s">
        <v>7</v>
      </c>
      <c r="I9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6" s="90" t="s">
        <v>9710</v>
      </c>
    </row>
    <row r="937" spans="1:11">
      <c r="A937" s="90" t="s">
        <v>10843</v>
      </c>
      <c r="B937" s="90" t="s">
        <v>10844</v>
      </c>
      <c r="C937" s="90" t="s">
        <v>16</v>
      </c>
      <c r="D937" s="90" t="str">
        <f>VLOOKUP(Tabela1[[#This Row],[Origem]],'Perguntas 1 a 24'!$J$28:$K$34,2,FALSE)</f>
        <v>Sudeste</v>
      </c>
      <c r="E937" s="90" t="s">
        <v>12276</v>
      </c>
      <c r="F937" s="91">
        <v>46016</v>
      </c>
      <c r="G937" s="92">
        <v>77143</v>
      </c>
      <c r="H937" s="90" t="s">
        <v>11</v>
      </c>
      <c r="I9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7" s="90" t="s">
        <v>10844</v>
      </c>
    </row>
    <row r="938" spans="1:11">
      <c r="A938" s="90" t="s">
        <v>4257</v>
      </c>
      <c r="B938" s="90" t="s">
        <v>4258</v>
      </c>
      <c r="C938" s="90" t="s">
        <v>16</v>
      </c>
      <c r="D938" s="90" t="str">
        <f>VLOOKUP(Tabela1[[#This Row],[Origem]],'Perguntas 1 a 24'!$J$28:$K$34,2,FALSE)</f>
        <v>Sudeste</v>
      </c>
      <c r="E938" s="90" t="s">
        <v>12277</v>
      </c>
      <c r="F938" s="91">
        <v>46017</v>
      </c>
      <c r="G938" s="92">
        <v>116547</v>
      </c>
      <c r="H938" s="90" t="s">
        <v>14</v>
      </c>
      <c r="I9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38" s="90" t="s">
        <v>4258</v>
      </c>
    </row>
    <row r="939" spans="1:11">
      <c r="A939" s="90" t="s">
        <v>6374</v>
      </c>
      <c r="B939" s="90" t="s">
        <v>6375</v>
      </c>
      <c r="C939" s="90" t="s">
        <v>10</v>
      </c>
      <c r="D939" s="90" t="str">
        <f>VLOOKUP(Tabela1[[#This Row],[Origem]],'Perguntas 1 a 24'!$J$28:$K$34,2,FALSE)</f>
        <v>Centro-Oeste</v>
      </c>
      <c r="E939" s="90" t="s">
        <v>12278</v>
      </c>
      <c r="F939" s="91">
        <v>46018</v>
      </c>
      <c r="G939" s="92">
        <v>29257</v>
      </c>
      <c r="H939" s="90" t="s">
        <v>9</v>
      </c>
      <c r="I9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39" s="90" t="s">
        <v>6375</v>
      </c>
    </row>
    <row r="940" spans="1:11">
      <c r="A940" s="90" t="s">
        <v>6740</v>
      </c>
      <c r="B940" s="90" t="s">
        <v>6741</v>
      </c>
      <c r="C940" s="90" t="s">
        <v>12</v>
      </c>
      <c r="D940" s="90" t="str">
        <f>VLOOKUP(Tabela1[[#This Row],[Origem]],'Perguntas 1 a 24'!$J$28:$K$34,2,FALSE)</f>
        <v>Sudeste</v>
      </c>
      <c r="E940" s="90" t="s">
        <v>12279</v>
      </c>
      <c r="F940" s="91">
        <v>46018</v>
      </c>
      <c r="G940" s="92">
        <v>98677</v>
      </c>
      <c r="H940" s="90" t="s">
        <v>11</v>
      </c>
      <c r="I9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0" s="90" t="s">
        <v>6741</v>
      </c>
    </row>
    <row r="941" spans="1:11">
      <c r="A941" s="90" t="s">
        <v>9389</v>
      </c>
      <c r="B941" s="90" t="s">
        <v>9390</v>
      </c>
      <c r="C941" s="90" t="s">
        <v>10</v>
      </c>
      <c r="D941" s="90" t="str">
        <f>VLOOKUP(Tabela1[[#This Row],[Origem]],'Perguntas 1 a 24'!$J$28:$K$34,2,FALSE)</f>
        <v>Centro-Oeste</v>
      </c>
      <c r="E941" s="90" t="s">
        <v>12280</v>
      </c>
      <c r="F941" s="91">
        <v>46018</v>
      </c>
      <c r="G941" s="92">
        <v>73696</v>
      </c>
      <c r="H941" s="90" t="s">
        <v>9</v>
      </c>
      <c r="I9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1" s="90" t="s">
        <v>9390</v>
      </c>
    </row>
    <row r="942" spans="1:11">
      <c r="A942" s="90" t="s">
        <v>10905</v>
      </c>
      <c r="B942" s="90" t="s">
        <v>10906</v>
      </c>
      <c r="C942" s="90" t="s">
        <v>6</v>
      </c>
      <c r="D942" s="90" t="str">
        <f>VLOOKUP(Tabela1[[#This Row],[Origem]],'Perguntas 1 a 24'!$J$28:$K$34,2,FALSE)</f>
        <v>Nordeste</v>
      </c>
      <c r="E942" s="90" t="s">
        <v>12281</v>
      </c>
      <c r="F942" s="91">
        <v>46018</v>
      </c>
      <c r="G942" s="92">
        <v>78344</v>
      </c>
      <c r="H942" s="90" t="s">
        <v>11</v>
      </c>
      <c r="I9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2" s="90" t="s">
        <v>10906</v>
      </c>
    </row>
    <row r="943" spans="1:11">
      <c r="A943" s="90" t="s">
        <v>5082</v>
      </c>
      <c r="B943" s="90" t="s">
        <v>5083</v>
      </c>
      <c r="C943" s="90" t="s">
        <v>15</v>
      </c>
      <c r="D943" s="90" t="str">
        <f>VLOOKUP(Tabela1[[#This Row],[Origem]],'Perguntas 1 a 24'!$J$28:$K$34,2,FALSE)</f>
        <v>Sudeste</v>
      </c>
      <c r="E943" s="90" t="s">
        <v>12282</v>
      </c>
      <c r="F943" s="91">
        <v>46019</v>
      </c>
      <c r="G943" s="92">
        <v>115176</v>
      </c>
      <c r="H943" s="90" t="s">
        <v>9</v>
      </c>
      <c r="I9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3" s="90" t="s">
        <v>5083</v>
      </c>
    </row>
    <row r="944" spans="1:11">
      <c r="A944" s="90" t="s">
        <v>5548</v>
      </c>
      <c r="B944" s="90" t="s">
        <v>5549</v>
      </c>
      <c r="C944" s="90" t="s">
        <v>13</v>
      </c>
      <c r="D944" s="90" t="str">
        <f>VLOOKUP(Tabela1[[#This Row],[Origem]],'Perguntas 1 a 24'!$J$28:$K$34,2,FALSE)</f>
        <v>Sudeste</v>
      </c>
      <c r="E944" s="90" t="s">
        <v>12283</v>
      </c>
      <c r="F944" s="91">
        <v>46019</v>
      </c>
      <c r="G944" s="92">
        <v>108643</v>
      </c>
      <c r="H944" s="90" t="s">
        <v>14</v>
      </c>
      <c r="I9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4" s="90" t="s">
        <v>5549</v>
      </c>
    </row>
    <row r="945" spans="1:11">
      <c r="A945" s="90" t="s">
        <v>6530</v>
      </c>
      <c r="B945" s="90" t="s">
        <v>6531</v>
      </c>
      <c r="C945" s="90" t="s">
        <v>8</v>
      </c>
      <c r="D945" s="90" t="str">
        <f>VLOOKUP(Tabela1[[#This Row],[Origem]],'Perguntas 1 a 24'!$J$28:$K$34,2,FALSE)</f>
        <v>Nordeste</v>
      </c>
      <c r="E945" s="90" t="s">
        <v>12284</v>
      </c>
      <c r="F945" s="91">
        <v>46019</v>
      </c>
      <c r="G945" s="92">
        <v>22927</v>
      </c>
      <c r="H945" s="90" t="s">
        <v>7</v>
      </c>
      <c r="I9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45" s="90" t="s">
        <v>6531</v>
      </c>
    </row>
    <row r="946" spans="1:11">
      <c r="A946" s="90" t="s">
        <v>6894</v>
      </c>
      <c r="B946" s="90" t="s">
        <v>6895</v>
      </c>
      <c r="C946" s="90" t="s">
        <v>15</v>
      </c>
      <c r="D946" s="90" t="str">
        <f>VLOOKUP(Tabela1[[#This Row],[Origem]],'Perguntas 1 a 24'!$J$28:$K$34,2,FALSE)</f>
        <v>Sudeste</v>
      </c>
      <c r="E946" s="90" t="s">
        <v>12285</v>
      </c>
      <c r="F946" s="91">
        <v>46019</v>
      </c>
      <c r="G946" s="92">
        <v>77986</v>
      </c>
      <c r="H946" s="90" t="s">
        <v>11</v>
      </c>
      <c r="I9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6" s="90" t="s">
        <v>6895</v>
      </c>
    </row>
    <row r="947" spans="1:11">
      <c r="A947" s="90" t="s">
        <v>7606</v>
      </c>
      <c r="B947" s="90" t="s">
        <v>7607</v>
      </c>
      <c r="C947" s="90" t="s">
        <v>12</v>
      </c>
      <c r="D947" s="90" t="str">
        <f>VLOOKUP(Tabela1[[#This Row],[Origem]],'Perguntas 1 a 24'!$J$28:$K$34,2,FALSE)</f>
        <v>Sudeste</v>
      </c>
      <c r="E947" s="90" t="s">
        <v>12286</v>
      </c>
      <c r="F947" s="91">
        <v>46019</v>
      </c>
      <c r="G947" s="92">
        <v>38393</v>
      </c>
      <c r="H947" s="90" t="s">
        <v>14</v>
      </c>
      <c r="I9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</v>
      </c>
      <c r="K947" s="90" t="s">
        <v>7607</v>
      </c>
    </row>
    <row r="948" spans="1:11">
      <c r="A948" s="90" t="s">
        <v>9987</v>
      </c>
      <c r="B948" s="90" t="s">
        <v>9988</v>
      </c>
      <c r="C948" s="90" t="s">
        <v>16</v>
      </c>
      <c r="D948" s="90" t="str">
        <f>VLOOKUP(Tabela1[[#This Row],[Origem]],'Perguntas 1 a 24'!$J$28:$K$34,2,FALSE)</f>
        <v>Sudeste</v>
      </c>
      <c r="E948" s="90" t="s">
        <v>12287</v>
      </c>
      <c r="F948" s="91">
        <v>46019</v>
      </c>
      <c r="G948" s="92">
        <v>98703</v>
      </c>
      <c r="H948" s="90" t="s">
        <v>9</v>
      </c>
      <c r="I9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8" s="90" t="s">
        <v>9988</v>
      </c>
    </row>
    <row r="949" spans="1:11">
      <c r="A949" s="90" t="s">
        <v>6670</v>
      </c>
      <c r="B949" s="90" t="s">
        <v>6671</v>
      </c>
      <c r="C949" s="90" t="s">
        <v>8</v>
      </c>
      <c r="D949" s="90" t="str">
        <f>VLOOKUP(Tabela1[[#This Row],[Origem]],'Perguntas 1 a 24'!$J$28:$K$34,2,FALSE)</f>
        <v>Nordeste</v>
      </c>
      <c r="E949" s="90" t="s">
        <v>12288</v>
      </c>
      <c r="F949" s="91">
        <v>46020</v>
      </c>
      <c r="G949" s="92">
        <v>80560</v>
      </c>
      <c r="H949" s="90" t="s">
        <v>7</v>
      </c>
      <c r="I9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49" s="90" t="s">
        <v>6671</v>
      </c>
    </row>
    <row r="950" spans="1:11">
      <c r="A950" s="90" t="s">
        <v>4646</v>
      </c>
      <c r="B950" s="90" t="s">
        <v>4647</v>
      </c>
      <c r="C950" s="90" t="s">
        <v>15</v>
      </c>
      <c r="D950" s="90" t="str">
        <f>VLOOKUP(Tabela1[[#This Row],[Origem]],'Perguntas 1 a 24'!$J$28:$K$34,2,FALSE)</f>
        <v>Sudeste</v>
      </c>
      <c r="E950" s="90" t="s">
        <v>12289</v>
      </c>
      <c r="F950" s="91">
        <v>46022</v>
      </c>
      <c r="G950" s="92">
        <v>57856</v>
      </c>
      <c r="H950" s="90" t="s">
        <v>14</v>
      </c>
      <c r="I9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Urgente e caro</v>
      </c>
      <c r="K950" s="90" t="s">
        <v>4647</v>
      </c>
    </row>
    <row r="951" spans="1:11">
      <c r="A951" s="90" t="s">
        <v>7222</v>
      </c>
      <c r="B951" s="90" t="s">
        <v>7223</v>
      </c>
      <c r="C951" s="90" t="s">
        <v>10</v>
      </c>
      <c r="D951" s="90" t="str">
        <f>VLOOKUP(Tabela1[[#This Row],[Origem]],'Perguntas 1 a 24'!$J$28:$K$34,2,FALSE)</f>
        <v>Centro-Oeste</v>
      </c>
      <c r="E951" s="90" t="s">
        <v>12290</v>
      </c>
      <c r="F951" s="91">
        <v>46023</v>
      </c>
      <c r="G951" s="92">
        <v>29774</v>
      </c>
      <c r="H951" s="90" t="s">
        <v>9</v>
      </c>
      <c r="I9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51" s="90" t="s">
        <v>7223</v>
      </c>
    </row>
    <row r="952" spans="1:11">
      <c r="A952" s="90" t="s">
        <v>4114</v>
      </c>
      <c r="B952" s="90" t="s">
        <v>4115</v>
      </c>
      <c r="C952" s="90" t="s">
        <v>15</v>
      </c>
      <c r="D952" s="90" t="str">
        <f>VLOOKUP(Tabela1[[#This Row],[Origem]],'Perguntas 1 a 24'!$J$28:$K$34,2,FALSE)</f>
        <v>Sudeste</v>
      </c>
      <c r="E952" s="90" t="s">
        <v>12291</v>
      </c>
      <c r="F952" s="91">
        <v>46024</v>
      </c>
      <c r="G952" s="92">
        <v>67398</v>
      </c>
      <c r="H952" s="90" t="s">
        <v>14</v>
      </c>
      <c r="I9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52" s="90" t="s">
        <v>4115</v>
      </c>
    </row>
    <row r="953" spans="1:11">
      <c r="A953" s="90" t="s">
        <v>5396</v>
      </c>
      <c r="B953" s="90" t="s">
        <v>5397</v>
      </c>
      <c r="C953" s="90" t="s">
        <v>10</v>
      </c>
      <c r="D953" s="90" t="str">
        <f>VLOOKUP(Tabela1[[#This Row],[Origem]],'Perguntas 1 a 24'!$J$28:$K$34,2,FALSE)</f>
        <v>Centro-Oeste</v>
      </c>
      <c r="E953" s="90" t="s">
        <v>12292</v>
      </c>
      <c r="F953" s="91">
        <v>46024</v>
      </c>
      <c r="G953" s="92">
        <v>87122</v>
      </c>
      <c r="H953" s="90" t="s">
        <v>7</v>
      </c>
      <c r="I9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53" s="90" t="s">
        <v>5397</v>
      </c>
    </row>
    <row r="954" spans="1:11">
      <c r="A954" s="90" t="s">
        <v>7794</v>
      </c>
      <c r="B954" s="90" t="s">
        <v>7795</v>
      </c>
      <c r="C954" s="90" t="s">
        <v>10</v>
      </c>
      <c r="D954" s="90" t="str">
        <f>VLOOKUP(Tabela1[[#This Row],[Origem]],'Perguntas 1 a 24'!$J$28:$K$34,2,FALSE)</f>
        <v>Centro-Oeste</v>
      </c>
      <c r="E954" s="90" t="s">
        <v>12293</v>
      </c>
      <c r="F954" s="91">
        <v>46025</v>
      </c>
      <c r="G954" s="92">
        <v>36724</v>
      </c>
      <c r="H954" s="90" t="s">
        <v>11</v>
      </c>
      <c r="I9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54" s="90" t="s">
        <v>7795</v>
      </c>
    </row>
    <row r="955" spans="1:11">
      <c r="A955" s="90" t="s">
        <v>8114</v>
      </c>
      <c r="B955" s="90" t="s">
        <v>8115</v>
      </c>
      <c r="C955" s="90" t="s">
        <v>16</v>
      </c>
      <c r="D955" s="90" t="str">
        <f>VLOOKUP(Tabela1[[#This Row],[Origem]],'Perguntas 1 a 24'!$J$28:$K$34,2,FALSE)</f>
        <v>Sudeste</v>
      </c>
      <c r="E955" s="90" t="s">
        <v>12294</v>
      </c>
      <c r="F955" s="91">
        <v>46026</v>
      </c>
      <c r="G955" s="92">
        <v>84493</v>
      </c>
      <c r="H955" s="90" t="s">
        <v>14</v>
      </c>
      <c r="I9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55" s="90" t="s">
        <v>8115</v>
      </c>
    </row>
    <row r="956" spans="1:11">
      <c r="A956" s="90" t="s">
        <v>9653</v>
      </c>
      <c r="B956" s="90" t="s">
        <v>9654</v>
      </c>
      <c r="C956" s="90" t="s">
        <v>16</v>
      </c>
      <c r="D956" s="90" t="str">
        <f>VLOOKUP(Tabela1[[#This Row],[Origem]],'Perguntas 1 a 24'!$J$28:$K$34,2,FALSE)</f>
        <v>Sudeste</v>
      </c>
      <c r="E956" s="90" t="s">
        <v>12295</v>
      </c>
      <c r="F956" s="91">
        <v>46026</v>
      </c>
      <c r="G956" s="92">
        <v>27008</v>
      </c>
      <c r="H956" s="90" t="s">
        <v>7</v>
      </c>
      <c r="I9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56" s="90" t="s">
        <v>9654</v>
      </c>
    </row>
    <row r="957" spans="1:11">
      <c r="A957" s="90" t="s">
        <v>10405</v>
      </c>
      <c r="B957" s="90" t="s">
        <v>10406</v>
      </c>
      <c r="C957" s="90" t="s">
        <v>15</v>
      </c>
      <c r="D957" s="90" t="str">
        <f>VLOOKUP(Tabela1[[#This Row],[Origem]],'Perguntas 1 a 24'!$J$28:$K$34,2,FALSE)</f>
        <v>Sudeste</v>
      </c>
      <c r="E957" s="90" t="s">
        <v>12296</v>
      </c>
      <c r="F957" s="91">
        <v>46026</v>
      </c>
      <c r="G957" s="92">
        <v>86037</v>
      </c>
      <c r="H957" s="90" t="s">
        <v>9</v>
      </c>
      <c r="I9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57" s="90" t="s">
        <v>10406</v>
      </c>
    </row>
    <row r="958" spans="1:11">
      <c r="A958" s="90" t="s">
        <v>6924</v>
      </c>
      <c r="B958" s="90" t="s">
        <v>6925</v>
      </c>
      <c r="C958" s="90" t="s">
        <v>8</v>
      </c>
      <c r="D958" s="90" t="str">
        <f>VLOOKUP(Tabela1[[#This Row],[Origem]],'Perguntas 1 a 24'!$J$28:$K$34,2,FALSE)</f>
        <v>Nordeste</v>
      </c>
      <c r="E958" s="90" t="s">
        <v>12297</v>
      </c>
      <c r="F958" s="91">
        <v>46027</v>
      </c>
      <c r="G958" s="92">
        <v>31063</v>
      </c>
      <c r="H958" s="90" t="s">
        <v>11</v>
      </c>
      <c r="I9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58" s="90" t="s">
        <v>6925</v>
      </c>
    </row>
    <row r="959" spans="1:11">
      <c r="A959" s="90" t="s">
        <v>9229</v>
      </c>
      <c r="B959" s="90" t="s">
        <v>9230</v>
      </c>
      <c r="C959" s="90" t="s">
        <v>16</v>
      </c>
      <c r="D959" s="90" t="str">
        <f>VLOOKUP(Tabela1[[#This Row],[Origem]],'Perguntas 1 a 24'!$J$28:$K$34,2,FALSE)</f>
        <v>Sudeste</v>
      </c>
      <c r="E959" s="90" t="s">
        <v>12298</v>
      </c>
      <c r="F959" s="91">
        <v>46027</v>
      </c>
      <c r="G959" s="92">
        <v>52493</v>
      </c>
      <c r="H959" s="90" t="s">
        <v>9</v>
      </c>
      <c r="I9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59" s="90" t="s">
        <v>9230</v>
      </c>
    </row>
    <row r="960" spans="1:11">
      <c r="A960" s="90" t="s">
        <v>9345</v>
      </c>
      <c r="B960" s="90" t="s">
        <v>9346</v>
      </c>
      <c r="C960" s="90" t="s">
        <v>13</v>
      </c>
      <c r="D960" s="90" t="str">
        <f>VLOOKUP(Tabela1[[#This Row],[Origem]],'Perguntas 1 a 24'!$J$28:$K$34,2,FALSE)</f>
        <v>Sudeste</v>
      </c>
      <c r="E960" s="90" t="s">
        <v>12299</v>
      </c>
      <c r="F960" s="91">
        <v>46028</v>
      </c>
      <c r="G960" s="92">
        <v>89101</v>
      </c>
      <c r="H960" s="90" t="s">
        <v>7</v>
      </c>
      <c r="I9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0" s="90" t="s">
        <v>9346</v>
      </c>
    </row>
    <row r="961" spans="1:11">
      <c r="A961" s="90" t="s">
        <v>8781</v>
      </c>
      <c r="B961" s="90" t="s">
        <v>8782</v>
      </c>
      <c r="C961" s="90" t="s">
        <v>15</v>
      </c>
      <c r="D961" s="90" t="str">
        <f>VLOOKUP(Tabela1[[#This Row],[Origem]],'Perguntas 1 a 24'!$J$28:$K$34,2,FALSE)</f>
        <v>Sudeste</v>
      </c>
      <c r="E961" s="90" t="s">
        <v>12300</v>
      </c>
      <c r="F961" s="91">
        <v>46029</v>
      </c>
      <c r="G961" s="92">
        <v>83619</v>
      </c>
      <c r="H961" s="90" t="s">
        <v>14</v>
      </c>
      <c r="I9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1" s="90" t="s">
        <v>8782</v>
      </c>
    </row>
    <row r="962" spans="1:11">
      <c r="A962" s="90" t="s">
        <v>10257</v>
      </c>
      <c r="B962" s="90" t="s">
        <v>10258</v>
      </c>
      <c r="C962" s="90" t="s">
        <v>12</v>
      </c>
      <c r="D962" s="90" t="str">
        <f>VLOOKUP(Tabela1[[#This Row],[Origem]],'Perguntas 1 a 24'!$J$28:$K$34,2,FALSE)</f>
        <v>Sudeste</v>
      </c>
      <c r="E962" s="90" t="s">
        <v>12301</v>
      </c>
      <c r="F962" s="91">
        <v>46029</v>
      </c>
      <c r="G962" s="92">
        <v>110828</v>
      </c>
      <c r="H962" s="90" t="s">
        <v>7</v>
      </c>
      <c r="I9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2" s="90" t="s">
        <v>10258</v>
      </c>
    </row>
    <row r="963" spans="1:11">
      <c r="A963" s="90" t="s">
        <v>6616</v>
      </c>
      <c r="B963" s="90" t="s">
        <v>6617</v>
      </c>
      <c r="C963" s="90" t="s">
        <v>12</v>
      </c>
      <c r="D963" s="90" t="str">
        <f>VLOOKUP(Tabela1[[#This Row],[Origem]],'Perguntas 1 a 24'!$J$28:$K$34,2,FALSE)</f>
        <v>Sudeste</v>
      </c>
      <c r="E963" s="90" t="s">
        <v>12302</v>
      </c>
      <c r="F963" s="91">
        <v>46030</v>
      </c>
      <c r="G963" s="92">
        <v>65890</v>
      </c>
      <c r="H963" s="90" t="s">
        <v>9</v>
      </c>
      <c r="I9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3" s="90" t="s">
        <v>6617</v>
      </c>
    </row>
    <row r="964" spans="1:11">
      <c r="A964" s="90" t="s">
        <v>10521</v>
      </c>
      <c r="B964" s="90" t="s">
        <v>10522</v>
      </c>
      <c r="C964" s="90" t="s">
        <v>15</v>
      </c>
      <c r="D964" s="90" t="str">
        <f>VLOOKUP(Tabela1[[#This Row],[Origem]],'Perguntas 1 a 24'!$J$28:$K$34,2,FALSE)</f>
        <v>Sudeste</v>
      </c>
      <c r="E964" s="90" t="s">
        <v>12303</v>
      </c>
      <c r="F964" s="91">
        <v>46031</v>
      </c>
      <c r="G964" s="92">
        <v>87353</v>
      </c>
      <c r="H964" s="90" t="s">
        <v>9</v>
      </c>
      <c r="I9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4" s="90" t="s">
        <v>10522</v>
      </c>
    </row>
    <row r="965" spans="1:11">
      <c r="A965" s="90" t="s">
        <v>3946</v>
      </c>
      <c r="B965" s="90" t="s">
        <v>3947</v>
      </c>
      <c r="C965" s="90" t="s">
        <v>6</v>
      </c>
      <c r="D965" s="90" t="str">
        <f>VLOOKUP(Tabela1[[#This Row],[Origem]],'Perguntas 1 a 24'!$J$28:$K$34,2,FALSE)</f>
        <v>Nordeste</v>
      </c>
      <c r="E965" s="90" t="s">
        <v>12304</v>
      </c>
      <c r="F965" s="91">
        <v>46032</v>
      </c>
      <c r="G965" s="92">
        <v>84156</v>
      </c>
      <c r="H965" s="90" t="s">
        <v>11</v>
      </c>
      <c r="I9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5" s="90" t="s">
        <v>3947</v>
      </c>
    </row>
    <row r="966" spans="1:11">
      <c r="A966" s="90" t="s">
        <v>7578</v>
      </c>
      <c r="B966" s="90" t="s">
        <v>7579</v>
      </c>
      <c r="C966" s="90" t="s">
        <v>16</v>
      </c>
      <c r="D966" s="90" t="str">
        <f>VLOOKUP(Tabela1[[#This Row],[Origem]],'Perguntas 1 a 24'!$J$28:$K$34,2,FALSE)</f>
        <v>Sudeste</v>
      </c>
      <c r="E966" s="90" t="s">
        <v>12305</v>
      </c>
      <c r="F966" s="91">
        <v>46032</v>
      </c>
      <c r="G966" s="92">
        <v>65212</v>
      </c>
      <c r="H966" s="90" t="s">
        <v>11</v>
      </c>
      <c r="I9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6" s="90" t="s">
        <v>7579</v>
      </c>
    </row>
    <row r="967" spans="1:11">
      <c r="A967" s="90" t="s">
        <v>4536</v>
      </c>
      <c r="B967" s="90" t="s">
        <v>4537</v>
      </c>
      <c r="C967" s="90" t="s">
        <v>13</v>
      </c>
      <c r="D967" s="90" t="str">
        <f>VLOOKUP(Tabela1[[#This Row],[Origem]],'Perguntas 1 a 24'!$J$28:$K$34,2,FALSE)</f>
        <v>Sudeste</v>
      </c>
      <c r="E967" s="90" t="s">
        <v>12306</v>
      </c>
      <c r="F967" s="91">
        <v>46033</v>
      </c>
      <c r="G967" s="92">
        <v>48330</v>
      </c>
      <c r="H967" s="90" t="s">
        <v>11</v>
      </c>
      <c r="I9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67" s="90" t="s">
        <v>4537</v>
      </c>
    </row>
    <row r="968" spans="1:11">
      <c r="A968" s="90" t="s">
        <v>10737</v>
      </c>
      <c r="B968" s="90" t="s">
        <v>10738</v>
      </c>
      <c r="C968" s="90" t="s">
        <v>13</v>
      </c>
      <c r="D968" s="90" t="str">
        <f>VLOOKUP(Tabela1[[#This Row],[Origem]],'Perguntas 1 a 24'!$J$28:$K$34,2,FALSE)</f>
        <v>Sudeste</v>
      </c>
      <c r="E968" s="90" t="s">
        <v>12307</v>
      </c>
      <c r="F968" s="91">
        <v>46036</v>
      </c>
      <c r="G968" s="92">
        <v>114228</v>
      </c>
      <c r="H968" s="90" t="s">
        <v>9</v>
      </c>
      <c r="I9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8" s="90" t="s">
        <v>10738</v>
      </c>
    </row>
    <row r="969" spans="1:11">
      <c r="A969" s="90" t="s">
        <v>8186</v>
      </c>
      <c r="B969" s="90" t="s">
        <v>8187</v>
      </c>
      <c r="C969" s="90" t="s">
        <v>6</v>
      </c>
      <c r="D969" s="90" t="str">
        <f>VLOOKUP(Tabela1[[#This Row],[Origem]],'Perguntas 1 a 24'!$J$28:$K$34,2,FALSE)</f>
        <v>Nordeste</v>
      </c>
      <c r="E969" s="90" t="s">
        <v>12308</v>
      </c>
      <c r="F969" s="91">
        <v>46040</v>
      </c>
      <c r="G969" s="92">
        <v>101966</v>
      </c>
      <c r="H969" s="90" t="s">
        <v>14</v>
      </c>
      <c r="I9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69" s="90" t="s">
        <v>8187</v>
      </c>
    </row>
    <row r="970" spans="1:11">
      <c r="A970" s="90" t="s">
        <v>9741</v>
      </c>
      <c r="B970" s="90" t="s">
        <v>9742</v>
      </c>
      <c r="C970" s="90" t="s">
        <v>16</v>
      </c>
      <c r="D970" s="90" t="str">
        <f>VLOOKUP(Tabela1[[#This Row],[Origem]],'Perguntas 1 a 24'!$J$28:$K$34,2,FALSE)</f>
        <v>Sudeste</v>
      </c>
      <c r="E970" s="90" t="s">
        <v>12309</v>
      </c>
      <c r="F970" s="91">
        <v>46040</v>
      </c>
      <c r="G970" s="92">
        <v>95044</v>
      </c>
      <c r="H970" s="90" t="s">
        <v>11</v>
      </c>
      <c r="I9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70" s="90" t="s">
        <v>9742</v>
      </c>
    </row>
    <row r="971" spans="1:11">
      <c r="A971" s="90" t="s">
        <v>4492</v>
      </c>
      <c r="B971" s="90" t="s">
        <v>4493</v>
      </c>
      <c r="C971" s="90" t="s">
        <v>13</v>
      </c>
      <c r="D971" s="90" t="str">
        <f>VLOOKUP(Tabela1[[#This Row],[Origem]],'Perguntas 1 a 24'!$J$28:$K$34,2,FALSE)</f>
        <v>Sudeste</v>
      </c>
      <c r="E971" s="90" t="s">
        <v>12310</v>
      </c>
      <c r="F971" s="91">
        <v>46041</v>
      </c>
      <c r="G971" s="92">
        <v>64393</v>
      </c>
      <c r="H971" s="90" t="s">
        <v>14</v>
      </c>
      <c r="I9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71" s="90" t="s">
        <v>4493</v>
      </c>
    </row>
    <row r="972" spans="1:11">
      <c r="A972" s="90" t="s">
        <v>6058</v>
      </c>
      <c r="B972" s="90" t="s">
        <v>6059</v>
      </c>
      <c r="C972" s="90" t="s">
        <v>6</v>
      </c>
      <c r="D972" s="90" t="str">
        <f>VLOOKUP(Tabela1[[#This Row],[Origem]],'Perguntas 1 a 24'!$J$28:$K$34,2,FALSE)</f>
        <v>Nordeste</v>
      </c>
      <c r="E972" s="90" t="s">
        <v>12311</v>
      </c>
      <c r="F972" s="91">
        <v>46041</v>
      </c>
      <c r="G972" s="92">
        <v>79777</v>
      </c>
      <c r="H972" s="90" t="s">
        <v>7</v>
      </c>
      <c r="I9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72" s="90" t="s">
        <v>6059</v>
      </c>
    </row>
    <row r="973" spans="1:11">
      <c r="A973" s="90" t="s">
        <v>4158</v>
      </c>
      <c r="B973" s="90" t="s">
        <v>4159</v>
      </c>
      <c r="C973" s="90" t="s">
        <v>12</v>
      </c>
      <c r="D973" s="90" t="str">
        <f>VLOOKUP(Tabela1[[#This Row],[Origem]],'Perguntas 1 a 24'!$J$28:$K$34,2,FALSE)</f>
        <v>Sudeste</v>
      </c>
      <c r="E973" s="90" t="s">
        <v>12312</v>
      </c>
      <c r="F973" s="91">
        <v>46042</v>
      </c>
      <c r="G973" s="92">
        <v>21228</v>
      </c>
      <c r="H973" s="90" t="s">
        <v>7</v>
      </c>
      <c r="I9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73" s="90" t="s">
        <v>4159</v>
      </c>
    </row>
    <row r="974" spans="1:11">
      <c r="A974" s="90" t="s">
        <v>6408</v>
      </c>
      <c r="B974" s="90" t="s">
        <v>6409</v>
      </c>
      <c r="C974" s="90" t="s">
        <v>6</v>
      </c>
      <c r="D974" s="90" t="str">
        <f>VLOOKUP(Tabela1[[#This Row],[Origem]],'Perguntas 1 a 24'!$J$28:$K$34,2,FALSE)</f>
        <v>Nordeste</v>
      </c>
      <c r="E974" s="90" t="s">
        <v>12313</v>
      </c>
      <c r="F974" s="91">
        <v>46042</v>
      </c>
      <c r="G974" s="92">
        <v>84136</v>
      </c>
      <c r="H974" s="90" t="s">
        <v>7</v>
      </c>
      <c r="I9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74" s="90" t="s">
        <v>6409</v>
      </c>
    </row>
    <row r="975" spans="1:11">
      <c r="A975" s="90" t="s">
        <v>7964</v>
      </c>
      <c r="B975" s="90" t="s">
        <v>7965</v>
      </c>
      <c r="C975" s="90" t="s">
        <v>16</v>
      </c>
      <c r="D975" s="90" t="str">
        <f>VLOOKUP(Tabela1[[#This Row],[Origem]],'Perguntas 1 a 24'!$J$28:$K$34,2,FALSE)</f>
        <v>Sudeste</v>
      </c>
      <c r="E975" s="90" t="s">
        <v>12314</v>
      </c>
      <c r="F975" s="91">
        <v>46043</v>
      </c>
      <c r="G975" s="92">
        <v>64303</v>
      </c>
      <c r="H975" s="90" t="s">
        <v>7</v>
      </c>
      <c r="I9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75" s="90" t="s">
        <v>7965</v>
      </c>
    </row>
    <row r="976" spans="1:11">
      <c r="A976" s="90" t="s">
        <v>5840</v>
      </c>
      <c r="B976" s="90" t="s">
        <v>5841</v>
      </c>
      <c r="C976" s="90" t="s">
        <v>15</v>
      </c>
      <c r="D976" s="90" t="str">
        <f>VLOOKUP(Tabela1[[#This Row],[Origem]],'Perguntas 1 a 24'!$J$28:$K$34,2,FALSE)</f>
        <v>Sudeste</v>
      </c>
      <c r="E976" s="90" t="s">
        <v>12315</v>
      </c>
      <c r="F976" s="91">
        <v>46045</v>
      </c>
      <c r="G976" s="92">
        <v>102614</v>
      </c>
      <c r="H976" s="90" t="s">
        <v>11</v>
      </c>
      <c r="I9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76" s="90" t="s">
        <v>5841</v>
      </c>
    </row>
    <row r="977" spans="1:11">
      <c r="A977" s="90" t="s">
        <v>6586</v>
      </c>
      <c r="B977" s="90" t="s">
        <v>6587</v>
      </c>
      <c r="C977" s="90" t="s">
        <v>6</v>
      </c>
      <c r="D977" s="90" t="str">
        <f>VLOOKUP(Tabela1[[#This Row],[Origem]],'Perguntas 1 a 24'!$J$28:$K$34,2,FALSE)</f>
        <v>Nordeste</v>
      </c>
      <c r="E977" s="90" t="s">
        <v>12316</v>
      </c>
      <c r="F977" s="91">
        <v>46045</v>
      </c>
      <c r="G977" s="92">
        <v>100689</v>
      </c>
      <c r="H977" s="90" t="s">
        <v>11</v>
      </c>
      <c r="I9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77" s="90" t="s">
        <v>6587</v>
      </c>
    </row>
    <row r="978" spans="1:11">
      <c r="A978" s="90" t="s">
        <v>8048</v>
      </c>
      <c r="B978" s="90" t="s">
        <v>8049</v>
      </c>
      <c r="C978" s="90" t="s">
        <v>12</v>
      </c>
      <c r="D978" s="90" t="str">
        <f>VLOOKUP(Tabela1[[#This Row],[Origem]],'Perguntas 1 a 24'!$J$28:$K$34,2,FALSE)</f>
        <v>Sudeste</v>
      </c>
      <c r="E978" s="90" t="s">
        <v>12317</v>
      </c>
      <c r="F978" s="91">
        <v>46045</v>
      </c>
      <c r="G978" s="92">
        <v>63253</v>
      </c>
      <c r="H978" s="90" t="s">
        <v>9</v>
      </c>
      <c r="I9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78" s="90" t="s">
        <v>8049</v>
      </c>
    </row>
    <row r="979" spans="1:11">
      <c r="A979" s="90" t="s">
        <v>9983</v>
      </c>
      <c r="B979" s="90" t="s">
        <v>9984</v>
      </c>
      <c r="C979" s="90" t="s">
        <v>10</v>
      </c>
      <c r="D979" s="90" t="str">
        <f>VLOOKUP(Tabela1[[#This Row],[Origem]],'Perguntas 1 a 24'!$J$28:$K$34,2,FALSE)</f>
        <v>Centro-Oeste</v>
      </c>
      <c r="E979" s="90" t="s">
        <v>12318</v>
      </c>
      <c r="F979" s="91">
        <v>46045</v>
      </c>
      <c r="G979" s="92">
        <v>22121</v>
      </c>
      <c r="H979" s="90" t="s">
        <v>7</v>
      </c>
      <c r="I9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79" s="90" t="s">
        <v>9984</v>
      </c>
    </row>
    <row r="980" spans="1:11">
      <c r="A980" s="90" t="s">
        <v>10091</v>
      </c>
      <c r="B980" s="90" t="s">
        <v>10092</v>
      </c>
      <c r="C980" s="90" t="s">
        <v>6</v>
      </c>
      <c r="D980" s="90" t="str">
        <f>VLOOKUP(Tabela1[[#This Row],[Origem]],'Perguntas 1 a 24'!$J$28:$K$34,2,FALSE)</f>
        <v>Nordeste</v>
      </c>
      <c r="E980" s="90" t="s">
        <v>12319</v>
      </c>
      <c r="F980" s="91">
        <v>46047</v>
      </c>
      <c r="G980" s="92">
        <v>107375</v>
      </c>
      <c r="H980" s="90" t="s">
        <v>11</v>
      </c>
      <c r="I9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0" s="90" t="s">
        <v>10092</v>
      </c>
    </row>
    <row r="981" spans="1:11">
      <c r="A981" s="90" t="s">
        <v>3980</v>
      </c>
      <c r="B981" s="90" t="s">
        <v>3981</v>
      </c>
      <c r="C981" s="90" t="s">
        <v>15</v>
      </c>
      <c r="D981" s="90" t="str">
        <f>VLOOKUP(Tabela1[[#This Row],[Origem]],'Perguntas 1 a 24'!$J$28:$K$34,2,FALSE)</f>
        <v>Sudeste</v>
      </c>
      <c r="E981" s="90" t="s">
        <v>12320</v>
      </c>
      <c r="F981" s="91">
        <v>46048</v>
      </c>
      <c r="G981" s="92">
        <v>85086</v>
      </c>
      <c r="H981" s="90" t="s">
        <v>7</v>
      </c>
      <c r="I9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1" s="90" t="s">
        <v>3981</v>
      </c>
    </row>
    <row r="982" spans="1:11">
      <c r="A982" s="90" t="s">
        <v>7830</v>
      </c>
      <c r="B982" s="90" t="s">
        <v>7831</v>
      </c>
      <c r="C982" s="90" t="s">
        <v>13</v>
      </c>
      <c r="D982" s="90" t="str">
        <f>VLOOKUP(Tabela1[[#This Row],[Origem]],'Perguntas 1 a 24'!$J$28:$K$34,2,FALSE)</f>
        <v>Sudeste</v>
      </c>
      <c r="E982" s="90" t="s">
        <v>12321</v>
      </c>
      <c r="F982" s="91">
        <v>46048</v>
      </c>
      <c r="G982" s="92">
        <v>110415</v>
      </c>
      <c r="H982" s="90" t="s">
        <v>11</v>
      </c>
      <c r="I9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2" s="90" t="s">
        <v>7831</v>
      </c>
    </row>
    <row r="983" spans="1:11">
      <c r="A983" s="90" t="s">
        <v>10689</v>
      </c>
      <c r="B983" s="90" t="s">
        <v>10690</v>
      </c>
      <c r="C983" s="90" t="s">
        <v>8</v>
      </c>
      <c r="D983" s="90" t="str">
        <f>VLOOKUP(Tabela1[[#This Row],[Origem]],'Perguntas 1 a 24'!$J$28:$K$34,2,FALSE)</f>
        <v>Nordeste</v>
      </c>
      <c r="E983" s="90" t="s">
        <v>12322</v>
      </c>
      <c r="F983" s="91">
        <v>46048</v>
      </c>
      <c r="G983" s="92">
        <v>47509</v>
      </c>
      <c r="H983" s="90" t="s">
        <v>7</v>
      </c>
      <c r="I9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83" s="90" t="s">
        <v>10690</v>
      </c>
    </row>
    <row r="984" spans="1:11">
      <c r="A984" s="90" t="s">
        <v>4896</v>
      </c>
      <c r="B984" s="90" t="s">
        <v>4897</v>
      </c>
      <c r="C984" s="90" t="s">
        <v>6</v>
      </c>
      <c r="D984" s="90" t="str">
        <f>VLOOKUP(Tabela1[[#This Row],[Origem]],'Perguntas 1 a 24'!$J$28:$K$34,2,FALSE)</f>
        <v>Nordeste</v>
      </c>
      <c r="E984" s="90" t="s">
        <v>12323</v>
      </c>
      <c r="F984" s="91">
        <v>46050</v>
      </c>
      <c r="G984" s="92">
        <v>115478</v>
      </c>
      <c r="H984" s="90" t="s">
        <v>9</v>
      </c>
      <c r="I9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4" s="90" t="s">
        <v>4897</v>
      </c>
    </row>
    <row r="985" spans="1:11">
      <c r="A985" s="90" t="s">
        <v>6546</v>
      </c>
      <c r="B985" s="90" t="s">
        <v>6547</v>
      </c>
      <c r="C985" s="90" t="s">
        <v>10</v>
      </c>
      <c r="D985" s="90" t="str">
        <f>VLOOKUP(Tabela1[[#This Row],[Origem]],'Perguntas 1 a 24'!$J$28:$K$34,2,FALSE)</f>
        <v>Centro-Oeste</v>
      </c>
      <c r="E985" s="90" t="s">
        <v>12324</v>
      </c>
      <c r="F985" s="91">
        <v>46050</v>
      </c>
      <c r="G985" s="92">
        <v>106443</v>
      </c>
      <c r="H985" s="90" t="s">
        <v>7</v>
      </c>
      <c r="I9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5" s="90" t="s">
        <v>6547</v>
      </c>
    </row>
    <row r="986" spans="1:11">
      <c r="A986" s="90" t="s">
        <v>9529</v>
      </c>
      <c r="B986" s="90" t="s">
        <v>9530</v>
      </c>
      <c r="C986" s="90" t="s">
        <v>12</v>
      </c>
      <c r="D986" s="90" t="str">
        <f>VLOOKUP(Tabela1[[#This Row],[Origem]],'Perguntas 1 a 24'!$J$28:$K$34,2,FALSE)</f>
        <v>Sudeste</v>
      </c>
      <c r="E986" s="90" t="s">
        <v>12325</v>
      </c>
      <c r="F986" s="91">
        <v>46050</v>
      </c>
      <c r="G986" s="92">
        <v>98143</v>
      </c>
      <c r="H986" s="90" t="s">
        <v>9</v>
      </c>
      <c r="I9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6" s="90" t="s">
        <v>9530</v>
      </c>
    </row>
    <row r="987" spans="1:11">
      <c r="A987" s="90" t="s">
        <v>9737</v>
      </c>
      <c r="B987" s="90" t="s">
        <v>9738</v>
      </c>
      <c r="C987" s="90" t="s">
        <v>12</v>
      </c>
      <c r="D987" s="90" t="str">
        <f>VLOOKUP(Tabela1[[#This Row],[Origem]],'Perguntas 1 a 24'!$J$28:$K$34,2,FALSE)</f>
        <v>Sudeste</v>
      </c>
      <c r="E987" s="90" t="s">
        <v>12326</v>
      </c>
      <c r="F987" s="91">
        <v>46051</v>
      </c>
      <c r="G987" s="92">
        <v>62367</v>
      </c>
      <c r="H987" s="90" t="s">
        <v>11</v>
      </c>
      <c r="I9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7" s="90" t="s">
        <v>9738</v>
      </c>
    </row>
    <row r="988" spans="1:11">
      <c r="A988" s="90" t="s">
        <v>8222</v>
      </c>
      <c r="B988" s="90" t="s">
        <v>8223</v>
      </c>
      <c r="C988" s="90" t="s">
        <v>8</v>
      </c>
      <c r="D988" s="90" t="str">
        <f>VLOOKUP(Tabela1[[#This Row],[Origem]],'Perguntas 1 a 24'!$J$28:$K$34,2,FALSE)</f>
        <v>Nordeste</v>
      </c>
      <c r="E988" s="90" t="s">
        <v>12327</v>
      </c>
      <c r="F988" s="91">
        <v>46052</v>
      </c>
      <c r="G988" s="92">
        <v>117029</v>
      </c>
      <c r="H988" s="90" t="s">
        <v>11</v>
      </c>
      <c r="I9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8" s="90" t="s">
        <v>8223</v>
      </c>
    </row>
    <row r="989" spans="1:11">
      <c r="A989" s="90" t="s">
        <v>8412</v>
      </c>
      <c r="B989" s="90" t="s">
        <v>8413</v>
      </c>
      <c r="C989" s="90" t="s">
        <v>6</v>
      </c>
      <c r="D989" s="90" t="str">
        <f>VLOOKUP(Tabela1[[#This Row],[Origem]],'Perguntas 1 a 24'!$J$28:$K$34,2,FALSE)</f>
        <v>Nordeste</v>
      </c>
      <c r="E989" s="90" t="s">
        <v>12328</v>
      </c>
      <c r="F989" s="91">
        <v>46052</v>
      </c>
      <c r="G989" s="92">
        <v>86874</v>
      </c>
      <c r="H989" s="90" t="s">
        <v>14</v>
      </c>
      <c r="I9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89" s="90" t="s">
        <v>8413</v>
      </c>
    </row>
    <row r="990" spans="1:11">
      <c r="A990" s="90" t="s">
        <v>4690</v>
      </c>
      <c r="B990" s="90" t="s">
        <v>4691</v>
      </c>
      <c r="C990" s="90" t="s">
        <v>16</v>
      </c>
      <c r="D990" s="90" t="str">
        <f>VLOOKUP(Tabela1[[#This Row],[Origem]],'Perguntas 1 a 24'!$J$28:$K$34,2,FALSE)</f>
        <v>Sudeste</v>
      </c>
      <c r="E990" s="90" t="s">
        <v>12329</v>
      </c>
      <c r="F990" s="91">
        <v>46053</v>
      </c>
      <c r="G990" s="92">
        <v>65627</v>
      </c>
      <c r="H990" s="90" t="s">
        <v>14</v>
      </c>
      <c r="I9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90" s="90" t="s">
        <v>4691</v>
      </c>
    </row>
    <row r="991" spans="1:11">
      <c r="A991" s="90" t="s">
        <v>7402</v>
      </c>
      <c r="B991" s="90" t="s">
        <v>7403</v>
      </c>
      <c r="C991" s="90" t="s">
        <v>10</v>
      </c>
      <c r="D991" s="90" t="str">
        <f>VLOOKUP(Tabela1[[#This Row],[Origem]],'Perguntas 1 a 24'!$J$28:$K$34,2,FALSE)</f>
        <v>Centro-Oeste</v>
      </c>
      <c r="E991" s="90" t="s">
        <v>12330</v>
      </c>
      <c r="F991" s="91">
        <v>46054</v>
      </c>
      <c r="G991" s="92">
        <v>26536</v>
      </c>
      <c r="H991" s="90" t="s">
        <v>9</v>
      </c>
      <c r="I9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91" s="90" t="s">
        <v>7403</v>
      </c>
    </row>
    <row r="992" spans="1:11">
      <c r="A992" s="90" t="s">
        <v>7428</v>
      </c>
      <c r="B992" s="90" t="s">
        <v>7429</v>
      </c>
      <c r="C992" s="90" t="s">
        <v>16</v>
      </c>
      <c r="D992" s="90" t="str">
        <f>VLOOKUP(Tabela1[[#This Row],[Origem]],'Perguntas 1 a 24'!$J$28:$K$34,2,FALSE)</f>
        <v>Sudeste</v>
      </c>
      <c r="E992" s="90" t="s">
        <v>12331</v>
      </c>
      <c r="F992" s="91">
        <v>46054</v>
      </c>
      <c r="G992" s="92">
        <v>54912</v>
      </c>
      <c r="H992" s="90" t="s">
        <v>11</v>
      </c>
      <c r="I9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92" s="90" t="s">
        <v>7429</v>
      </c>
    </row>
    <row r="993" spans="1:11">
      <c r="A993" s="90" t="s">
        <v>9485</v>
      </c>
      <c r="B993" s="90" t="s">
        <v>9486</v>
      </c>
      <c r="C993" s="90" t="s">
        <v>16</v>
      </c>
      <c r="D993" s="90" t="str">
        <f>VLOOKUP(Tabela1[[#This Row],[Origem]],'Perguntas 1 a 24'!$J$28:$K$34,2,FALSE)</f>
        <v>Sudeste</v>
      </c>
      <c r="E993" s="90" t="s">
        <v>12332</v>
      </c>
      <c r="F993" s="91">
        <v>46054</v>
      </c>
      <c r="G993" s="92">
        <v>32203</v>
      </c>
      <c r="H993" s="90" t="s">
        <v>7</v>
      </c>
      <c r="I9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93" s="90" t="s">
        <v>9486</v>
      </c>
    </row>
    <row r="994" spans="1:11">
      <c r="A994" s="90" t="s">
        <v>8567</v>
      </c>
      <c r="B994" s="90" t="s">
        <v>8568</v>
      </c>
      <c r="C994" s="90" t="s">
        <v>16</v>
      </c>
      <c r="D994" s="90" t="str">
        <f>VLOOKUP(Tabela1[[#This Row],[Origem]],'Perguntas 1 a 24'!$J$28:$K$34,2,FALSE)</f>
        <v>Sudeste</v>
      </c>
      <c r="E994" s="90" t="s">
        <v>12333</v>
      </c>
      <c r="F994" s="91">
        <v>46056</v>
      </c>
      <c r="G994" s="92">
        <v>58216</v>
      </c>
      <c r="H994" s="90" t="s">
        <v>7</v>
      </c>
      <c r="I9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94" s="90" t="s">
        <v>8568</v>
      </c>
    </row>
    <row r="995" spans="1:11">
      <c r="A995" s="90" t="s">
        <v>9453</v>
      </c>
      <c r="B995" s="90" t="s">
        <v>9454</v>
      </c>
      <c r="C995" s="90" t="s">
        <v>15</v>
      </c>
      <c r="D995" s="90" t="str">
        <f>VLOOKUP(Tabela1[[#This Row],[Origem]],'Perguntas 1 a 24'!$J$28:$K$34,2,FALSE)</f>
        <v>Sudeste</v>
      </c>
      <c r="E995" s="90" t="s">
        <v>12334</v>
      </c>
      <c r="F995" s="91">
        <v>46056</v>
      </c>
      <c r="G995" s="92">
        <v>83080</v>
      </c>
      <c r="H995" s="90" t="s">
        <v>9</v>
      </c>
      <c r="I9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95" s="90" t="s">
        <v>9454</v>
      </c>
    </row>
    <row r="996" spans="1:11">
      <c r="A996" s="90" t="s">
        <v>11008</v>
      </c>
      <c r="B996" s="90" t="s">
        <v>11009</v>
      </c>
      <c r="C996" s="90" t="s">
        <v>13</v>
      </c>
      <c r="D996" s="90" t="str">
        <f>VLOOKUP(Tabela1[[#This Row],[Origem]],'Perguntas 1 a 24'!$J$28:$K$34,2,FALSE)</f>
        <v>Sudeste</v>
      </c>
      <c r="E996" s="90" t="s">
        <v>12335</v>
      </c>
      <c r="F996" s="91">
        <v>46056</v>
      </c>
      <c r="G996" s="92">
        <v>28970</v>
      </c>
      <c r="H996" s="90" t="s">
        <v>7</v>
      </c>
      <c r="I9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96" s="90" t="s">
        <v>11009</v>
      </c>
    </row>
    <row r="997" spans="1:11">
      <c r="A997" s="90" t="s">
        <v>5584</v>
      </c>
      <c r="B997" s="90" t="s">
        <v>5585</v>
      </c>
      <c r="C997" s="90" t="s">
        <v>10</v>
      </c>
      <c r="D997" s="90" t="str">
        <f>VLOOKUP(Tabela1[[#This Row],[Origem]],'Perguntas 1 a 24'!$J$28:$K$34,2,FALSE)</f>
        <v>Centro-Oeste</v>
      </c>
      <c r="E997" s="90" t="s">
        <v>12336</v>
      </c>
      <c r="F997" s="91">
        <v>46057</v>
      </c>
      <c r="G997" s="92">
        <v>38253</v>
      </c>
      <c r="H997" s="90" t="s">
        <v>11</v>
      </c>
      <c r="I9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997" s="90" t="s">
        <v>5585</v>
      </c>
    </row>
    <row r="998" spans="1:11">
      <c r="A998" s="90" t="s">
        <v>5722</v>
      </c>
      <c r="B998" s="90" t="s">
        <v>5723</v>
      </c>
      <c r="C998" s="90" t="s">
        <v>15</v>
      </c>
      <c r="D998" s="90" t="str">
        <f>VLOOKUP(Tabela1[[#This Row],[Origem]],'Perguntas 1 a 24'!$J$28:$K$34,2,FALSE)</f>
        <v>Sudeste</v>
      </c>
      <c r="E998" s="90" t="s">
        <v>12337</v>
      </c>
      <c r="F998" s="91">
        <v>46057</v>
      </c>
      <c r="G998" s="92">
        <v>76273</v>
      </c>
      <c r="H998" s="90" t="s">
        <v>14</v>
      </c>
      <c r="I9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98" s="90" t="s">
        <v>5723</v>
      </c>
    </row>
    <row r="999" spans="1:11">
      <c r="A999" s="90" t="s">
        <v>7464</v>
      </c>
      <c r="B999" s="90" t="s">
        <v>7465</v>
      </c>
      <c r="C999" s="90" t="s">
        <v>10</v>
      </c>
      <c r="D999" s="90" t="str">
        <f>VLOOKUP(Tabela1[[#This Row],[Origem]],'Perguntas 1 a 24'!$J$28:$K$34,2,FALSE)</f>
        <v>Centro-Oeste</v>
      </c>
      <c r="E999" s="90" t="s">
        <v>12338</v>
      </c>
      <c r="F999" s="91">
        <v>46057</v>
      </c>
      <c r="G999" s="92">
        <v>117002</v>
      </c>
      <c r="H999" s="90" t="s">
        <v>14</v>
      </c>
      <c r="I9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999" s="90" t="s">
        <v>7465</v>
      </c>
    </row>
    <row r="1000" spans="1:11">
      <c r="A1000" s="90" t="s">
        <v>7548</v>
      </c>
      <c r="B1000" s="90" t="s">
        <v>7549</v>
      </c>
      <c r="C1000" s="90" t="s">
        <v>15</v>
      </c>
      <c r="D1000" s="90" t="str">
        <f>VLOOKUP(Tabela1[[#This Row],[Origem]],'Perguntas 1 a 24'!$J$28:$K$34,2,FALSE)</f>
        <v>Sudeste</v>
      </c>
      <c r="E1000" s="90" t="s">
        <v>12339</v>
      </c>
      <c r="F1000" s="91">
        <v>46057</v>
      </c>
      <c r="G1000" s="92">
        <v>109374</v>
      </c>
      <c r="H1000" s="90" t="s">
        <v>14</v>
      </c>
      <c r="I10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00" s="90" t="s">
        <v>7549</v>
      </c>
    </row>
    <row r="1001" spans="1:11">
      <c r="A1001" s="90" t="s">
        <v>8056</v>
      </c>
      <c r="B1001" s="90" t="s">
        <v>8057</v>
      </c>
      <c r="C1001" s="90" t="s">
        <v>12</v>
      </c>
      <c r="D1001" s="90" t="str">
        <f>VLOOKUP(Tabela1[[#This Row],[Origem]],'Perguntas 1 a 24'!$J$28:$K$34,2,FALSE)</f>
        <v>Sudeste</v>
      </c>
      <c r="E1001" s="90" t="s">
        <v>12340</v>
      </c>
      <c r="F1001" s="91">
        <v>46057</v>
      </c>
      <c r="G1001" s="92">
        <v>96392</v>
      </c>
      <c r="H1001" s="90" t="s">
        <v>9</v>
      </c>
      <c r="I10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01" s="90" t="s">
        <v>8057</v>
      </c>
    </row>
    <row r="1002" spans="1:11">
      <c r="A1002" s="90" t="s">
        <v>11040</v>
      </c>
      <c r="B1002" s="90" t="s">
        <v>11041</v>
      </c>
      <c r="C1002" s="90" t="s">
        <v>15</v>
      </c>
      <c r="D1002" s="90" t="str">
        <f>VLOOKUP(Tabela1[[#This Row],[Origem]],'Perguntas 1 a 24'!$J$28:$K$34,2,FALSE)</f>
        <v>Sudeste</v>
      </c>
      <c r="E1002" s="90" t="s">
        <v>12341</v>
      </c>
      <c r="F1002" s="91">
        <v>46057</v>
      </c>
      <c r="G1002" s="92">
        <v>44209</v>
      </c>
      <c r="H1002" s="90" t="s">
        <v>11</v>
      </c>
      <c r="I10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02" s="90" t="s">
        <v>11041</v>
      </c>
    </row>
    <row r="1003" spans="1:11">
      <c r="A1003" s="90" t="s">
        <v>6048</v>
      </c>
      <c r="B1003" s="90" t="s">
        <v>6049</v>
      </c>
      <c r="C1003" s="90" t="s">
        <v>10</v>
      </c>
      <c r="D1003" s="90" t="str">
        <f>VLOOKUP(Tabela1[[#This Row],[Origem]],'Perguntas 1 a 24'!$J$28:$K$34,2,FALSE)</f>
        <v>Centro-Oeste</v>
      </c>
      <c r="E1003" s="90" t="s">
        <v>12342</v>
      </c>
      <c r="F1003" s="91">
        <v>46058</v>
      </c>
      <c r="G1003" s="92">
        <v>50725</v>
      </c>
      <c r="H1003" s="90" t="s">
        <v>9</v>
      </c>
      <c r="I10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03" s="90" t="s">
        <v>6049</v>
      </c>
    </row>
    <row r="1004" spans="1:11">
      <c r="A1004" s="90" t="s">
        <v>7198</v>
      </c>
      <c r="B1004" s="90" t="s">
        <v>7199</v>
      </c>
      <c r="C1004" s="90" t="s">
        <v>12</v>
      </c>
      <c r="D1004" s="90" t="str">
        <f>VLOOKUP(Tabela1[[#This Row],[Origem]],'Perguntas 1 a 24'!$J$28:$K$34,2,FALSE)</f>
        <v>Sudeste</v>
      </c>
      <c r="E1004" s="90" t="s">
        <v>12343</v>
      </c>
      <c r="F1004" s="91">
        <v>46059</v>
      </c>
      <c r="G1004" s="92">
        <v>62519</v>
      </c>
      <c r="H1004" s="90" t="s">
        <v>7</v>
      </c>
      <c r="I10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04" s="90" t="s">
        <v>7199</v>
      </c>
    </row>
    <row r="1005" spans="1:11">
      <c r="A1005" s="90" t="s">
        <v>4337</v>
      </c>
      <c r="B1005" s="90" t="s">
        <v>4338</v>
      </c>
      <c r="C1005" s="90" t="s">
        <v>8</v>
      </c>
      <c r="D1005" s="90" t="str">
        <f>VLOOKUP(Tabela1[[#This Row],[Origem]],'Perguntas 1 a 24'!$J$28:$K$34,2,FALSE)</f>
        <v>Nordeste</v>
      </c>
      <c r="E1005" s="90" t="s">
        <v>12344</v>
      </c>
      <c r="F1005" s="91">
        <v>46060</v>
      </c>
      <c r="G1005" s="92">
        <v>59690</v>
      </c>
      <c r="H1005" s="90" t="s">
        <v>9</v>
      </c>
      <c r="I10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05" s="90" t="s">
        <v>4338</v>
      </c>
    </row>
    <row r="1006" spans="1:11">
      <c r="A1006" s="90" t="s">
        <v>5018</v>
      </c>
      <c r="B1006" s="90" t="s">
        <v>5019</v>
      </c>
      <c r="C1006" s="90" t="s">
        <v>12</v>
      </c>
      <c r="D1006" s="90" t="str">
        <f>VLOOKUP(Tabela1[[#This Row],[Origem]],'Perguntas 1 a 24'!$J$28:$K$34,2,FALSE)</f>
        <v>Sudeste</v>
      </c>
      <c r="E1006" s="90" t="s">
        <v>12345</v>
      </c>
      <c r="F1006" s="91">
        <v>46060</v>
      </c>
      <c r="G1006" s="92">
        <v>70986</v>
      </c>
      <c r="H1006" s="90" t="s">
        <v>11</v>
      </c>
      <c r="I10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06" s="90" t="s">
        <v>5019</v>
      </c>
    </row>
    <row r="1007" spans="1:11">
      <c r="A1007" s="90" t="s">
        <v>7234</v>
      </c>
      <c r="B1007" s="90" t="s">
        <v>7235</v>
      </c>
      <c r="C1007" s="90" t="s">
        <v>16</v>
      </c>
      <c r="D1007" s="90" t="str">
        <f>VLOOKUP(Tabela1[[#This Row],[Origem]],'Perguntas 1 a 24'!$J$28:$K$34,2,FALSE)</f>
        <v>Sudeste</v>
      </c>
      <c r="E1007" s="90" t="s">
        <v>12346</v>
      </c>
      <c r="F1007" s="91">
        <v>46060</v>
      </c>
      <c r="G1007" s="92">
        <v>64926</v>
      </c>
      <c r="H1007" s="90" t="s">
        <v>7</v>
      </c>
      <c r="I10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07" s="90" t="s">
        <v>7235</v>
      </c>
    </row>
    <row r="1008" spans="1:11">
      <c r="A1008" s="90" t="s">
        <v>7672</v>
      </c>
      <c r="B1008" s="90" t="s">
        <v>7673</v>
      </c>
      <c r="C1008" s="90" t="s">
        <v>8</v>
      </c>
      <c r="D1008" s="90" t="str">
        <f>VLOOKUP(Tabela1[[#This Row],[Origem]],'Perguntas 1 a 24'!$J$28:$K$34,2,FALSE)</f>
        <v>Nordeste</v>
      </c>
      <c r="E1008" s="90" t="s">
        <v>12347</v>
      </c>
      <c r="F1008" s="91">
        <v>46060</v>
      </c>
      <c r="G1008" s="92">
        <v>20585</v>
      </c>
      <c r="H1008" s="90" t="s">
        <v>7</v>
      </c>
      <c r="I10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08" s="90" t="s">
        <v>7673</v>
      </c>
    </row>
    <row r="1009" spans="1:11">
      <c r="A1009" s="90" t="s">
        <v>5170</v>
      </c>
      <c r="B1009" s="90" t="s">
        <v>5171</v>
      </c>
      <c r="C1009" s="90" t="s">
        <v>16</v>
      </c>
      <c r="D1009" s="90" t="str">
        <f>VLOOKUP(Tabela1[[#This Row],[Origem]],'Perguntas 1 a 24'!$J$28:$K$34,2,FALSE)</f>
        <v>Sudeste</v>
      </c>
      <c r="E1009" s="90" t="s">
        <v>12348</v>
      </c>
      <c r="F1009" s="91">
        <v>46061</v>
      </c>
      <c r="G1009" s="92">
        <v>86872</v>
      </c>
      <c r="H1009" s="90" t="s">
        <v>11</v>
      </c>
      <c r="I10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09" s="90" t="s">
        <v>5171</v>
      </c>
    </row>
    <row r="1010" spans="1:11">
      <c r="A1010" s="90" t="s">
        <v>7094</v>
      </c>
      <c r="B1010" s="90" t="s">
        <v>7095</v>
      </c>
      <c r="C1010" s="90" t="s">
        <v>15</v>
      </c>
      <c r="D1010" s="90" t="str">
        <f>VLOOKUP(Tabela1[[#This Row],[Origem]],'Perguntas 1 a 24'!$J$28:$K$34,2,FALSE)</f>
        <v>Sudeste</v>
      </c>
      <c r="E1010" s="90" t="s">
        <v>12349</v>
      </c>
      <c r="F1010" s="91">
        <v>46061</v>
      </c>
      <c r="G1010" s="92">
        <v>103635</v>
      </c>
      <c r="H1010" s="90" t="s">
        <v>14</v>
      </c>
      <c r="I10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10" s="90" t="s">
        <v>7095</v>
      </c>
    </row>
    <row r="1011" spans="1:11">
      <c r="A1011" s="90" t="s">
        <v>6096</v>
      </c>
      <c r="B1011" s="90" t="s">
        <v>6097</v>
      </c>
      <c r="C1011" s="90" t="s">
        <v>13</v>
      </c>
      <c r="D1011" s="90" t="str">
        <f>VLOOKUP(Tabela1[[#This Row],[Origem]],'Perguntas 1 a 24'!$J$28:$K$34,2,FALSE)</f>
        <v>Sudeste</v>
      </c>
      <c r="E1011" s="90" t="s">
        <v>12350</v>
      </c>
      <c r="F1011" s="91">
        <v>46063</v>
      </c>
      <c r="G1011" s="92">
        <v>44844</v>
      </c>
      <c r="H1011" s="90" t="s">
        <v>11</v>
      </c>
      <c r="I10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11" s="90" t="s">
        <v>6097</v>
      </c>
    </row>
    <row r="1012" spans="1:11">
      <c r="A1012" s="90" t="s">
        <v>10998</v>
      </c>
      <c r="B1012" s="90" t="s">
        <v>10999</v>
      </c>
      <c r="C1012" s="90" t="s">
        <v>16</v>
      </c>
      <c r="D1012" s="90" t="str">
        <f>VLOOKUP(Tabela1[[#This Row],[Origem]],'Perguntas 1 a 24'!$J$28:$K$34,2,FALSE)</f>
        <v>Sudeste</v>
      </c>
      <c r="E1012" s="90" t="s">
        <v>12351</v>
      </c>
      <c r="F1012" s="91">
        <v>46063</v>
      </c>
      <c r="G1012" s="92">
        <v>50813</v>
      </c>
      <c r="H1012" s="90" t="s">
        <v>14</v>
      </c>
      <c r="I10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12" s="90" t="s">
        <v>10999</v>
      </c>
    </row>
    <row r="1013" spans="1:11">
      <c r="A1013" s="90" t="s">
        <v>4550</v>
      </c>
      <c r="B1013" s="90" t="s">
        <v>4551</v>
      </c>
      <c r="C1013" s="90" t="s">
        <v>13</v>
      </c>
      <c r="D1013" s="90" t="str">
        <f>VLOOKUP(Tabela1[[#This Row],[Origem]],'Perguntas 1 a 24'!$J$28:$K$34,2,FALSE)</f>
        <v>Sudeste</v>
      </c>
      <c r="E1013" s="90" t="s">
        <v>12352</v>
      </c>
      <c r="F1013" s="91">
        <v>46064</v>
      </c>
      <c r="G1013" s="92">
        <v>102175</v>
      </c>
      <c r="H1013" s="90" t="s">
        <v>7</v>
      </c>
      <c r="I10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13" s="90" t="s">
        <v>4551</v>
      </c>
    </row>
    <row r="1014" spans="1:11">
      <c r="A1014" s="90" t="s">
        <v>5652</v>
      </c>
      <c r="B1014" s="90" t="s">
        <v>5653</v>
      </c>
      <c r="C1014" s="90" t="s">
        <v>15</v>
      </c>
      <c r="D1014" s="90" t="str">
        <f>VLOOKUP(Tabela1[[#This Row],[Origem]],'Perguntas 1 a 24'!$J$28:$K$34,2,FALSE)</f>
        <v>Sudeste</v>
      </c>
      <c r="E1014" s="90" t="s">
        <v>12353</v>
      </c>
      <c r="F1014" s="91">
        <v>46064</v>
      </c>
      <c r="G1014" s="92">
        <v>42321</v>
      </c>
      <c r="H1014" s="90" t="s">
        <v>9</v>
      </c>
      <c r="I10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14" s="90" t="s">
        <v>5653</v>
      </c>
    </row>
    <row r="1015" spans="1:11">
      <c r="A1015" s="90" t="s">
        <v>8076</v>
      </c>
      <c r="B1015" s="90" t="s">
        <v>8077</v>
      </c>
      <c r="C1015" s="90" t="s">
        <v>16</v>
      </c>
      <c r="D1015" s="90" t="str">
        <f>VLOOKUP(Tabela1[[#This Row],[Origem]],'Perguntas 1 a 24'!$J$28:$K$34,2,FALSE)</f>
        <v>Sudeste</v>
      </c>
      <c r="E1015" s="90" t="s">
        <v>12354</v>
      </c>
      <c r="F1015" s="91">
        <v>46064</v>
      </c>
      <c r="G1015" s="92">
        <v>27830</v>
      </c>
      <c r="H1015" s="90" t="s">
        <v>11</v>
      </c>
      <c r="I10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15" s="90" t="s">
        <v>8077</v>
      </c>
    </row>
    <row r="1016" spans="1:11">
      <c r="A1016" s="90" t="s">
        <v>10105</v>
      </c>
      <c r="B1016" s="90" t="s">
        <v>10106</v>
      </c>
      <c r="C1016" s="90" t="s">
        <v>13</v>
      </c>
      <c r="D1016" s="90" t="str">
        <f>VLOOKUP(Tabela1[[#This Row],[Origem]],'Perguntas 1 a 24'!$J$28:$K$34,2,FALSE)</f>
        <v>Sudeste</v>
      </c>
      <c r="E1016" s="90" t="s">
        <v>12355</v>
      </c>
      <c r="F1016" s="91">
        <v>46064</v>
      </c>
      <c r="G1016" s="92">
        <v>27777</v>
      </c>
      <c r="H1016" s="90" t="s">
        <v>14</v>
      </c>
      <c r="I10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16" s="90" t="s">
        <v>10106</v>
      </c>
    </row>
    <row r="1017" spans="1:11">
      <c r="A1017" s="90" t="s">
        <v>6358</v>
      </c>
      <c r="B1017" s="90" t="s">
        <v>6359</v>
      </c>
      <c r="C1017" s="90" t="s">
        <v>6</v>
      </c>
      <c r="D1017" s="90" t="str">
        <f>VLOOKUP(Tabela1[[#This Row],[Origem]],'Perguntas 1 a 24'!$J$28:$K$34,2,FALSE)</f>
        <v>Nordeste</v>
      </c>
      <c r="E1017" s="90" t="s">
        <v>12356</v>
      </c>
      <c r="F1017" s="91">
        <v>46065</v>
      </c>
      <c r="G1017" s="92">
        <v>59877</v>
      </c>
      <c r="H1017" s="90" t="s">
        <v>9</v>
      </c>
      <c r="I10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17" s="90" t="s">
        <v>6359</v>
      </c>
    </row>
    <row r="1018" spans="1:11">
      <c r="A1018" s="90" t="s">
        <v>5452</v>
      </c>
      <c r="B1018" s="90" t="s">
        <v>5453</v>
      </c>
      <c r="C1018" s="90" t="s">
        <v>8</v>
      </c>
      <c r="D1018" s="90" t="str">
        <f>VLOOKUP(Tabela1[[#This Row],[Origem]],'Perguntas 1 a 24'!$J$28:$K$34,2,FALSE)</f>
        <v>Nordeste</v>
      </c>
      <c r="E1018" s="90" t="s">
        <v>12357</v>
      </c>
      <c r="F1018" s="91">
        <v>46066</v>
      </c>
      <c r="G1018" s="92">
        <v>116180</v>
      </c>
      <c r="H1018" s="90" t="s">
        <v>9</v>
      </c>
      <c r="I10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18" s="90" t="s">
        <v>5453</v>
      </c>
    </row>
    <row r="1019" spans="1:11">
      <c r="A1019" s="90" t="s">
        <v>5890</v>
      </c>
      <c r="B1019" s="90" t="s">
        <v>5891</v>
      </c>
      <c r="C1019" s="90" t="s">
        <v>8</v>
      </c>
      <c r="D1019" s="90" t="str">
        <f>VLOOKUP(Tabela1[[#This Row],[Origem]],'Perguntas 1 a 24'!$J$28:$K$34,2,FALSE)</f>
        <v>Nordeste</v>
      </c>
      <c r="E1019" s="90" t="s">
        <v>12358</v>
      </c>
      <c r="F1019" s="91">
        <v>46066</v>
      </c>
      <c r="G1019" s="92">
        <v>114242</v>
      </c>
      <c r="H1019" s="90" t="s">
        <v>7</v>
      </c>
      <c r="I10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19" s="90" t="s">
        <v>5891</v>
      </c>
    </row>
    <row r="1020" spans="1:11">
      <c r="A1020" s="90" t="s">
        <v>10281</v>
      </c>
      <c r="B1020" s="90" t="s">
        <v>10282</v>
      </c>
      <c r="C1020" s="90" t="s">
        <v>15</v>
      </c>
      <c r="D1020" s="90" t="str">
        <f>VLOOKUP(Tabela1[[#This Row],[Origem]],'Perguntas 1 a 24'!$J$28:$K$34,2,FALSE)</f>
        <v>Sudeste</v>
      </c>
      <c r="E1020" s="90" t="s">
        <v>12359</v>
      </c>
      <c r="F1020" s="91">
        <v>46066</v>
      </c>
      <c r="G1020" s="92">
        <v>60774</v>
      </c>
      <c r="H1020" s="90" t="s">
        <v>14</v>
      </c>
      <c r="I10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20" s="90" t="s">
        <v>10282</v>
      </c>
    </row>
    <row r="1021" spans="1:11">
      <c r="A1021" s="90" t="s">
        <v>11239</v>
      </c>
      <c r="B1021" s="90" t="s">
        <v>11240</v>
      </c>
      <c r="C1021" s="90" t="s">
        <v>15</v>
      </c>
      <c r="D1021" s="90" t="str">
        <f>VLOOKUP(Tabela1[[#This Row],[Origem]],'Perguntas 1 a 24'!$J$28:$K$34,2,FALSE)</f>
        <v>Sudeste</v>
      </c>
      <c r="E1021" s="90" t="s">
        <v>12360</v>
      </c>
      <c r="F1021" s="91">
        <v>46066</v>
      </c>
      <c r="G1021" s="92">
        <v>96120</v>
      </c>
      <c r="H1021" s="90" t="s">
        <v>11</v>
      </c>
      <c r="I10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21" s="90" t="s">
        <v>11240</v>
      </c>
    </row>
    <row r="1022" spans="1:11">
      <c r="A1022" s="90" t="s">
        <v>4816</v>
      </c>
      <c r="B1022" s="90" t="s">
        <v>4817</v>
      </c>
      <c r="C1022" s="90" t="s">
        <v>6</v>
      </c>
      <c r="D1022" s="90" t="str">
        <f>VLOOKUP(Tabela1[[#This Row],[Origem]],'Perguntas 1 a 24'!$J$28:$K$34,2,FALSE)</f>
        <v>Nordeste</v>
      </c>
      <c r="E1022" s="90" t="s">
        <v>12361</v>
      </c>
      <c r="F1022" s="91">
        <v>46067</v>
      </c>
      <c r="G1022" s="92">
        <v>87167</v>
      </c>
      <c r="H1022" s="90" t="s">
        <v>9</v>
      </c>
      <c r="I10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22" s="90" t="s">
        <v>4817</v>
      </c>
    </row>
    <row r="1023" spans="1:11">
      <c r="A1023" s="90" t="s">
        <v>8617</v>
      </c>
      <c r="B1023" s="90" t="s">
        <v>8618</v>
      </c>
      <c r="C1023" s="90" t="s">
        <v>12</v>
      </c>
      <c r="D1023" s="90" t="str">
        <f>VLOOKUP(Tabela1[[#This Row],[Origem]],'Perguntas 1 a 24'!$J$28:$K$34,2,FALSE)</f>
        <v>Sudeste</v>
      </c>
      <c r="E1023" s="90" t="s">
        <v>12362</v>
      </c>
      <c r="F1023" s="91">
        <v>46067</v>
      </c>
      <c r="G1023" s="92">
        <v>71854</v>
      </c>
      <c r="H1023" s="90" t="s">
        <v>11</v>
      </c>
      <c r="I10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23" s="90" t="s">
        <v>8618</v>
      </c>
    </row>
    <row r="1024" spans="1:11">
      <c r="A1024" s="90" t="s">
        <v>4884</v>
      </c>
      <c r="B1024" s="90" t="s">
        <v>4885</v>
      </c>
      <c r="C1024" s="90" t="s">
        <v>13</v>
      </c>
      <c r="D1024" s="90" t="str">
        <f>VLOOKUP(Tabela1[[#This Row],[Origem]],'Perguntas 1 a 24'!$J$28:$K$34,2,FALSE)</f>
        <v>Sudeste</v>
      </c>
      <c r="E1024" s="90" t="s">
        <v>12363</v>
      </c>
      <c r="F1024" s="91">
        <v>46068</v>
      </c>
      <c r="G1024" s="92">
        <v>78544</v>
      </c>
      <c r="H1024" s="90" t="s">
        <v>11</v>
      </c>
      <c r="I10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24" s="90" t="s">
        <v>4885</v>
      </c>
    </row>
    <row r="1025" spans="1:11">
      <c r="A1025" s="90" t="s">
        <v>10641</v>
      </c>
      <c r="B1025" s="90" t="s">
        <v>10642</v>
      </c>
      <c r="C1025" s="90" t="s">
        <v>13</v>
      </c>
      <c r="D1025" s="90" t="str">
        <f>VLOOKUP(Tabela1[[#This Row],[Origem]],'Perguntas 1 a 24'!$J$28:$K$34,2,FALSE)</f>
        <v>Sudeste</v>
      </c>
      <c r="E1025" s="90" t="s">
        <v>12364</v>
      </c>
      <c r="F1025" s="91">
        <v>46068</v>
      </c>
      <c r="G1025" s="92">
        <v>116843</v>
      </c>
      <c r="H1025" s="90" t="s">
        <v>7</v>
      </c>
      <c r="I10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25" s="90" t="s">
        <v>10642</v>
      </c>
    </row>
    <row r="1026" spans="1:11">
      <c r="A1026" s="90" t="s">
        <v>8118</v>
      </c>
      <c r="B1026" s="90" t="s">
        <v>8119</v>
      </c>
      <c r="C1026" s="90" t="s">
        <v>13</v>
      </c>
      <c r="D1026" s="90" t="str">
        <f>VLOOKUP(Tabela1[[#This Row],[Origem]],'Perguntas 1 a 24'!$J$28:$K$34,2,FALSE)</f>
        <v>Sudeste</v>
      </c>
      <c r="E1026" s="90" t="s">
        <v>12365</v>
      </c>
      <c r="F1026" s="91">
        <v>46069</v>
      </c>
      <c r="G1026" s="92">
        <v>100066</v>
      </c>
      <c r="H1026" s="90" t="s">
        <v>11</v>
      </c>
      <c r="I10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26" s="90" t="s">
        <v>8119</v>
      </c>
    </row>
    <row r="1027" spans="1:11">
      <c r="A1027" s="90" t="s">
        <v>9685</v>
      </c>
      <c r="B1027" s="90" t="s">
        <v>9686</v>
      </c>
      <c r="C1027" s="90" t="s">
        <v>15</v>
      </c>
      <c r="D1027" s="90" t="str">
        <f>VLOOKUP(Tabela1[[#This Row],[Origem]],'Perguntas 1 a 24'!$J$28:$K$34,2,FALSE)</f>
        <v>Sudeste</v>
      </c>
      <c r="E1027" s="90" t="s">
        <v>12366</v>
      </c>
      <c r="F1027" s="91">
        <v>46069</v>
      </c>
      <c r="G1027" s="92">
        <v>34507</v>
      </c>
      <c r="H1027" s="90" t="s">
        <v>14</v>
      </c>
      <c r="I10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27" s="90" t="s">
        <v>9686</v>
      </c>
    </row>
    <row r="1028" spans="1:11">
      <c r="A1028" s="90" t="s">
        <v>9835</v>
      </c>
      <c r="B1028" s="90" t="s">
        <v>9836</v>
      </c>
      <c r="C1028" s="90" t="s">
        <v>8</v>
      </c>
      <c r="D1028" s="90" t="str">
        <f>VLOOKUP(Tabela1[[#This Row],[Origem]],'Perguntas 1 a 24'!$J$28:$K$34,2,FALSE)</f>
        <v>Nordeste</v>
      </c>
      <c r="E1028" s="90" t="s">
        <v>12367</v>
      </c>
      <c r="F1028" s="91">
        <v>46069</v>
      </c>
      <c r="G1028" s="92">
        <v>92731</v>
      </c>
      <c r="H1028" s="90" t="s">
        <v>14</v>
      </c>
      <c r="I10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28" s="90" t="s">
        <v>9836</v>
      </c>
    </row>
    <row r="1029" spans="1:11">
      <c r="A1029" s="90" t="s">
        <v>7196</v>
      </c>
      <c r="B1029" s="90" t="s">
        <v>7197</v>
      </c>
      <c r="C1029" s="90" t="s">
        <v>12</v>
      </c>
      <c r="D1029" s="90" t="str">
        <f>VLOOKUP(Tabela1[[#This Row],[Origem]],'Perguntas 1 a 24'!$J$28:$K$34,2,FALSE)</f>
        <v>Sudeste</v>
      </c>
      <c r="E1029" s="90" t="s">
        <v>12368</v>
      </c>
      <c r="F1029" s="91">
        <v>46070</v>
      </c>
      <c r="G1029" s="92">
        <v>32988</v>
      </c>
      <c r="H1029" s="90" t="s">
        <v>11</v>
      </c>
      <c r="I10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29" s="90" t="s">
        <v>7197</v>
      </c>
    </row>
    <row r="1030" spans="1:11">
      <c r="A1030" s="90" t="s">
        <v>5744</v>
      </c>
      <c r="B1030" s="90" t="s">
        <v>5745</v>
      </c>
      <c r="C1030" s="90" t="s">
        <v>8</v>
      </c>
      <c r="D1030" s="90" t="str">
        <f>VLOOKUP(Tabela1[[#This Row],[Origem]],'Perguntas 1 a 24'!$J$28:$K$34,2,FALSE)</f>
        <v>Nordeste</v>
      </c>
      <c r="E1030" s="90" t="s">
        <v>12369</v>
      </c>
      <c r="F1030" s="91">
        <v>46071</v>
      </c>
      <c r="G1030" s="92">
        <v>68818</v>
      </c>
      <c r="H1030" s="90" t="s">
        <v>9</v>
      </c>
      <c r="I10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0" s="90" t="s">
        <v>5745</v>
      </c>
    </row>
    <row r="1031" spans="1:11">
      <c r="A1031" s="90" t="s">
        <v>9059</v>
      </c>
      <c r="B1031" s="90" t="s">
        <v>9060</v>
      </c>
      <c r="C1031" s="90" t="s">
        <v>8</v>
      </c>
      <c r="D1031" s="90" t="str">
        <f>VLOOKUP(Tabela1[[#This Row],[Origem]],'Perguntas 1 a 24'!$J$28:$K$34,2,FALSE)</f>
        <v>Nordeste</v>
      </c>
      <c r="E1031" s="90" t="s">
        <v>12370</v>
      </c>
      <c r="F1031" s="91">
        <v>46071</v>
      </c>
      <c r="G1031" s="92">
        <v>69420</v>
      </c>
      <c r="H1031" s="90" t="s">
        <v>7</v>
      </c>
      <c r="I10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1" s="90" t="s">
        <v>9060</v>
      </c>
    </row>
    <row r="1032" spans="1:11">
      <c r="A1032" s="90" t="s">
        <v>4187</v>
      </c>
      <c r="B1032" s="90" t="s">
        <v>4188</v>
      </c>
      <c r="C1032" s="90" t="s">
        <v>10</v>
      </c>
      <c r="D1032" s="90" t="str">
        <f>VLOOKUP(Tabela1[[#This Row],[Origem]],'Perguntas 1 a 24'!$J$28:$K$34,2,FALSE)</f>
        <v>Centro-Oeste</v>
      </c>
      <c r="E1032" s="90" t="s">
        <v>12371</v>
      </c>
      <c r="F1032" s="91">
        <v>46072</v>
      </c>
      <c r="G1032" s="92">
        <v>57807</v>
      </c>
      <c r="H1032" s="90" t="s">
        <v>14</v>
      </c>
      <c r="I10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2" s="90" t="s">
        <v>4188</v>
      </c>
    </row>
    <row r="1033" spans="1:11">
      <c r="A1033" s="90" t="s">
        <v>7192</v>
      </c>
      <c r="B1033" s="90" t="s">
        <v>7193</v>
      </c>
      <c r="C1033" s="90" t="s">
        <v>10</v>
      </c>
      <c r="D1033" s="90" t="str">
        <f>VLOOKUP(Tabela1[[#This Row],[Origem]],'Perguntas 1 a 24'!$J$28:$K$34,2,FALSE)</f>
        <v>Centro-Oeste</v>
      </c>
      <c r="E1033" s="90" t="s">
        <v>12372</v>
      </c>
      <c r="F1033" s="91">
        <v>46074</v>
      </c>
      <c r="G1033" s="92">
        <v>55885</v>
      </c>
      <c r="H1033" s="90" t="s">
        <v>9</v>
      </c>
      <c r="I10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3" s="90" t="s">
        <v>7193</v>
      </c>
    </row>
    <row r="1034" spans="1:11">
      <c r="A1034" s="90" t="s">
        <v>7312</v>
      </c>
      <c r="B1034" s="90" t="s">
        <v>7313</v>
      </c>
      <c r="C1034" s="90" t="s">
        <v>13</v>
      </c>
      <c r="D1034" s="90" t="str">
        <f>VLOOKUP(Tabela1[[#This Row],[Origem]],'Perguntas 1 a 24'!$J$28:$K$34,2,FALSE)</f>
        <v>Sudeste</v>
      </c>
      <c r="E1034" s="90" t="s">
        <v>12373</v>
      </c>
      <c r="F1034" s="91">
        <v>46074</v>
      </c>
      <c r="G1034" s="92">
        <v>93422</v>
      </c>
      <c r="H1034" s="90" t="s">
        <v>11</v>
      </c>
      <c r="I10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4" s="90" t="s">
        <v>7313</v>
      </c>
    </row>
    <row r="1035" spans="1:11">
      <c r="A1035" s="90" t="s">
        <v>9819</v>
      </c>
      <c r="B1035" s="90" t="s">
        <v>9820</v>
      </c>
      <c r="C1035" s="90" t="s">
        <v>6</v>
      </c>
      <c r="D1035" s="90" t="str">
        <f>VLOOKUP(Tabela1[[#This Row],[Origem]],'Perguntas 1 a 24'!$J$28:$K$34,2,FALSE)</f>
        <v>Nordeste</v>
      </c>
      <c r="E1035" s="90" t="s">
        <v>12374</v>
      </c>
      <c r="F1035" s="91">
        <v>46075</v>
      </c>
      <c r="G1035" s="92">
        <v>107753</v>
      </c>
      <c r="H1035" s="90" t="s">
        <v>9</v>
      </c>
      <c r="I10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5" s="90" t="s">
        <v>9820</v>
      </c>
    </row>
    <row r="1036" spans="1:11">
      <c r="A1036" s="90" t="s">
        <v>5220</v>
      </c>
      <c r="B1036" s="90" t="s">
        <v>5221</v>
      </c>
      <c r="C1036" s="90" t="s">
        <v>13</v>
      </c>
      <c r="D1036" s="90" t="str">
        <f>VLOOKUP(Tabela1[[#This Row],[Origem]],'Perguntas 1 a 24'!$J$28:$K$34,2,FALSE)</f>
        <v>Sudeste</v>
      </c>
      <c r="E1036" s="90" t="s">
        <v>12375</v>
      </c>
      <c r="F1036" s="91">
        <v>46076</v>
      </c>
      <c r="G1036" s="92">
        <v>59929</v>
      </c>
      <c r="H1036" s="90" t="s">
        <v>14</v>
      </c>
      <c r="I10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6" s="90" t="s">
        <v>5221</v>
      </c>
    </row>
    <row r="1037" spans="1:11">
      <c r="A1037" s="90" t="s">
        <v>8320</v>
      </c>
      <c r="B1037" s="90" t="s">
        <v>8321</v>
      </c>
      <c r="C1037" s="90" t="s">
        <v>13</v>
      </c>
      <c r="D1037" s="90" t="str">
        <f>VLOOKUP(Tabela1[[#This Row],[Origem]],'Perguntas 1 a 24'!$J$28:$K$34,2,FALSE)</f>
        <v>Sudeste</v>
      </c>
      <c r="E1037" s="90" t="s">
        <v>12376</v>
      </c>
      <c r="F1037" s="91">
        <v>46076</v>
      </c>
      <c r="G1037" s="92">
        <v>119826</v>
      </c>
      <c r="H1037" s="90" t="s">
        <v>11</v>
      </c>
      <c r="I10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7" s="90" t="s">
        <v>8321</v>
      </c>
    </row>
    <row r="1038" spans="1:11">
      <c r="A1038" s="90" t="s">
        <v>9901</v>
      </c>
      <c r="B1038" s="90" t="s">
        <v>9902</v>
      </c>
      <c r="C1038" s="90" t="s">
        <v>15</v>
      </c>
      <c r="D1038" s="90" t="str">
        <f>VLOOKUP(Tabela1[[#This Row],[Origem]],'Perguntas 1 a 24'!$J$28:$K$34,2,FALSE)</f>
        <v>Sudeste</v>
      </c>
      <c r="E1038" s="90" t="s">
        <v>12377</v>
      </c>
      <c r="F1038" s="91">
        <v>46076</v>
      </c>
      <c r="G1038" s="92">
        <v>111665</v>
      </c>
      <c r="H1038" s="90" t="s">
        <v>11</v>
      </c>
      <c r="I10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38" s="90" t="s">
        <v>9902</v>
      </c>
    </row>
    <row r="1039" spans="1:11">
      <c r="A1039" s="90" t="s">
        <v>6034</v>
      </c>
      <c r="B1039" s="90" t="s">
        <v>6035</v>
      </c>
      <c r="C1039" s="90" t="s">
        <v>8</v>
      </c>
      <c r="D1039" s="90" t="str">
        <f>VLOOKUP(Tabela1[[#This Row],[Origem]],'Perguntas 1 a 24'!$J$28:$K$34,2,FALSE)</f>
        <v>Nordeste</v>
      </c>
      <c r="E1039" s="90" t="s">
        <v>12378</v>
      </c>
      <c r="F1039" s="91">
        <v>46077</v>
      </c>
      <c r="G1039" s="92">
        <v>21213</v>
      </c>
      <c r="H1039" s="90" t="s">
        <v>11</v>
      </c>
      <c r="I10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39" s="90" t="s">
        <v>6035</v>
      </c>
    </row>
    <row r="1040" spans="1:11">
      <c r="A1040" s="90" t="s">
        <v>8731</v>
      </c>
      <c r="B1040" s="90" t="s">
        <v>8732</v>
      </c>
      <c r="C1040" s="90" t="s">
        <v>13</v>
      </c>
      <c r="D1040" s="90" t="str">
        <f>VLOOKUP(Tabela1[[#This Row],[Origem]],'Perguntas 1 a 24'!$J$28:$K$34,2,FALSE)</f>
        <v>Sudeste</v>
      </c>
      <c r="E1040" s="90" t="s">
        <v>12379</v>
      </c>
      <c r="F1040" s="91">
        <v>46078</v>
      </c>
      <c r="G1040" s="92">
        <v>53958</v>
      </c>
      <c r="H1040" s="90" t="s">
        <v>9</v>
      </c>
      <c r="I10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40" s="90" t="s">
        <v>8732</v>
      </c>
    </row>
    <row r="1041" spans="1:11">
      <c r="A1041" s="90" t="s">
        <v>5684</v>
      </c>
      <c r="B1041" s="90" t="s">
        <v>5685</v>
      </c>
      <c r="C1041" s="90" t="s">
        <v>6</v>
      </c>
      <c r="D1041" s="90" t="str">
        <f>VLOOKUP(Tabela1[[#This Row],[Origem]],'Perguntas 1 a 24'!$J$28:$K$34,2,FALSE)</f>
        <v>Nordeste</v>
      </c>
      <c r="E1041" s="90" t="s">
        <v>12380</v>
      </c>
      <c r="F1041" s="91">
        <v>46079</v>
      </c>
      <c r="G1041" s="92">
        <v>54626</v>
      </c>
      <c r="H1041" s="90" t="s">
        <v>9</v>
      </c>
      <c r="I10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41" s="90" t="s">
        <v>5685</v>
      </c>
    </row>
    <row r="1042" spans="1:11">
      <c r="A1042" s="90" t="s">
        <v>4918</v>
      </c>
      <c r="B1042" s="90" t="s">
        <v>4919</v>
      </c>
      <c r="C1042" s="90" t="s">
        <v>16</v>
      </c>
      <c r="D1042" s="90" t="str">
        <f>VLOOKUP(Tabela1[[#This Row],[Origem]],'Perguntas 1 a 24'!$J$28:$K$34,2,FALSE)</f>
        <v>Sudeste</v>
      </c>
      <c r="E1042" s="90" t="s">
        <v>12381</v>
      </c>
      <c r="F1042" s="91">
        <v>46080</v>
      </c>
      <c r="G1042" s="92">
        <v>37466</v>
      </c>
      <c r="H1042" s="90" t="s">
        <v>11</v>
      </c>
      <c r="I10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42" s="90" t="s">
        <v>4919</v>
      </c>
    </row>
    <row r="1043" spans="1:11">
      <c r="A1043" s="90" t="s">
        <v>6488</v>
      </c>
      <c r="B1043" s="90" t="s">
        <v>6489</v>
      </c>
      <c r="C1043" s="90" t="s">
        <v>16</v>
      </c>
      <c r="D1043" s="90" t="str">
        <f>VLOOKUP(Tabela1[[#This Row],[Origem]],'Perguntas 1 a 24'!$J$28:$K$34,2,FALSE)</f>
        <v>Sudeste</v>
      </c>
      <c r="E1043" s="90" t="s">
        <v>12382</v>
      </c>
      <c r="F1043" s="91">
        <v>46080</v>
      </c>
      <c r="G1043" s="92">
        <v>26398</v>
      </c>
      <c r="H1043" s="90" t="s">
        <v>14</v>
      </c>
      <c r="I10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43" s="90" t="s">
        <v>6489</v>
      </c>
    </row>
    <row r="1044" spans="1:11">
      <c r="A1044" s="90" t="s">
        <v>4890</v>
      </c>
      <c r="B1044" s="90" t="s">
        <v>4891</v>
      </c>
      <c r="C1044" s="90" t="s">
        <v>15</v>
      </c>
      <c r="D1044" s="90" t="str">
        <f>VLOOKUP(Tabela1[[#This Row],[Origem]],'Perguntas 1 a 24'!$J$28:$K$34,2,FALSE)</f>
        <v>Sudeste</v>
      </c>
      <c r="E1044" s="90" t="s">
        <v>12383</v>
      </c>
      <c r="F1044" s="91">
        <v>46081</v>
      </c>
      <c r="G1044" s="92">
        <v>110542</v>
      </c>
      <c r="H1044" s="90" t="s">
        <v>7</v>
      </c>
      <c r="I10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44" s="90" t="s">
        <v>4891</v>
      </c>
    </row>
    <row r="1045" spans="1:11">
      <c r="A1045" s="90" t="s">
        <v>5978</v>
      </c>
      <c r="B1045" s="90" t="s">
        <v>5979</v>
      </c>
      <c r="C1045" s="90" t="s">
        <v>13</v>
      </c>
      <c r="D1045" s="90" t="str">
        <f>VLOOKUP(Tabela1[[#This Row],[Origem]],'Perguntas 1 a 24'!$J$28:$K$34,2,FALSE)</f>
        <v>Sudeste</v>
      </c>
      <c r="E1045" s="90" t="s">
        <v>12384</v>
      </c>
      <c r="F1045" s="91">
        <v>46081</v>
      </c>
      <c r="G1045" s="92">
        <v>46000</v>
      </c>
      <c r="H1045" s="90" t="s">
        <v>9</v>
      </c>
      <c r="I10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45" s="90" t="s">
        <v>5979</v>
      </c>
    </row>
    <row r="1046" spans="1:11">
      <c r="A1046" s="90" t="s">
        <v>6990</v>
      </c>
      <c r="B1046" s="90" t="s">
        <v>6991</v>
      </c>
      <c r="C1046" s="90" t="s">
        <v>6</v>
      </c>
      <c r="D1046" s="90" t="str">
        <f>VLOOKUP(Tabela1[[#This Row],[Origem]],'Perguntas 1 a 24'!$J$28:$K$34,2,FALSE)</f>
        <v>Nordeste</v>
      </c>
      <c r="E1046" s="90" t="s">
        <v>12385</v>
      </c>
      <c r="F1046" s="91">
        <v>46081</v>
      </c>
      <c r="G1046" s="92">
        <v>97721</v>
      </c>
      <c r="H1046" s="90" t="s">
        <v>11</v>
      </c>
      <c r="I10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46" s="90" t="s">
        <v>6991</v>
      </c>
    </row>
    <row r="1047" spans="1:11">
      <c r="A1047" s="90" t="s">
        <v>9393</v>
      </c>
      <c r="B1047" s="90" t="s">
        <v>9394</v>
      </c>
      <c r="C1047" s="90" t="s">
        <v>8</v>
      </c>
      <c r="D1047" s="90" t="str">
        <f>VLOOKUP(Tabela1[[#This Row],[Origem]],'Perguntas 1 a 24'!$J$28:$K$34,2,FALSE)</f>
        <v>Nordeste</v>
      </c>
      <c r="E1047" s="90" t="s">
        <v>12386</v>
      </c>
      <c r="F1047" s="91">
        <v>46082</v>
      </c>
      <c r="G1047" s="92">
        <v>37221</v>
      </c>
      <c r="H1047" s="90" t="s">
        <v>7</v>
      </c>
      <c r="I10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47" s="90" t="s">
        <v>9394</v>
      </c>
    </row>
    <row r="1048" spans="1:11">
      <c r="A1048" s="90" t="s">
        <v>9517</v>
      </c>
      <c r="B1048" s="90" t="s">
        <v>9518</v>
      </c>
      <c r="C1048" s="90" t="s">
        <v>6</v>
      </c>
      <c r="D1048" s="90" t="str">
        <f>VLOOKUP(Tabela1[[#This Row],[Origem]],'Perguntas 1 a 24'!$J$28:$K$34,2,FALSE)</f>
        <v>Nordeste</v>
      </c>
      <c r="E1048" s="90" t="s">
        <v>12387</v>
      </c>
      <c r="F1048" s="91">
        <v>46082</v>
      </c>
      <c r="G1048" s="92">
        <v>81219</v>
      </c>
      <c r="H1048" s="90" t="s">
        <v>9</v>
      </c>
      <c r="I10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48" s="90" t="s">
        <v>9518</v>
      </c>
    </row>
    <row r="1049" spans="1:11">
      <c r="A1049" s="90" t="s">
        <v>9665</v>
      </c>
      <c r="B1049" s="90" t="s">
        <v>9666</v>
      </c>
      <c r="C1049" s="90" t="s">
        <v>15</v>
      </c>
      <c r="D1049" s="90" t="str">
        <f>VLOOKUP(Tabela1[[#This Row],[Origem]],'Perguntas 1 a 24'!$J$28:$K$34,2,FALSE)</f>
        <v>Sudeste</v>
      </c>
      <c r="E1049" s="90" t="s">
        <v>12388</v>
      </c>
      <c r="F1049" s="91">
        <v>46082</v>
      </c>
      <c r="G1049" s="92">
        <v>40185</v>
      </c>
      <c r="H1049" s="90" t="s">
        <v>7</v>
      </c>
      <c r="I10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49" s="90" t="s">
        <v>9666</v>
      </c>
    </row>
    <row r="1050" spans="1:11">
      <c r="A1050" s="90" t="s">
        <v>5972</v>
      </c>
      <c r="B1050" s="90" t="s">
        <v>5973</v>
      </c>
      <c r="C1050" s="90" t="s">
        <v>6</v>
      </c>
      <c r="D1050" s="90" t="str">
        <f>VLOOKUP(Tabela1[[#This Row],[Origem]],'Perguntas 1 a 24'!$J$28:$K$34,2,FALSE)</f>
        <v>Nordeste</v>
      </c>
      <c r="E1050" s="90" t="s">
        <v>12389</v>
      </c>
      <c r="F1050" s="91">
        <v>46083</v>
      </c>
      <c r="G1050" s="92">
        <v>113744</v>
      </c>
      <c r="H1050" s="90" t="s">
        <v>9</v>
      </c>
      <c r="I10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50" s="90" t="s">
        <v>5973</v>
      </c>
    </row>
    <row r="1051" spans="1:11">
      <c r="A1051" s="90" t="s">
        <v>9145</v>
      </c>
      <c r="B1051" s="90" t="s">
        <v>9146</v>
      </c>
      <c r="C1051" s="90" t="s">
        <v>13</v>
      </c>
      <c r="D1051" s="90" t="str">
        <f>VLOOKUP(Tabela1[[#This Row],[Origem]],'Perguntas 1 a 24'!$J$28:$K$34,2,FALSE)</f>
        <v>Sudeste</v>
      </c>
      <c r="E1051" s="90" t="s">
        <v>12390</v>
      </c>
      <c r="F1051" s="91">
        <v>46084</v>
      </c>
      <c r="G1051" s="92">
        <v>90141</v>
      </c>
      <c r="H1051" s="90" t="s">
        <v>7</v>
      </c>
      <c r="I10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51" s="90" t="s">
        <v>9146</v>
      </c>
    </row>
    <row r="1052" spans="1:11">
      <c r="A1052" s="90" t="s">
        <v>10423</v>
      </c>
      <c r="B1052" s="90" t="s">
        <v>10424</v>
      </c>
      <c r="C1052" s="90" t="s">
        <v>13</v>
      </c>
      <c r="D1052" s="90" t="str">
        <f>VLOOKUP(Tabela1[[#This Row],[Origem]],'Perguntas 1 a 24'!$J$28:$K$34,2,FALSE)</f>
        <v>Sudeste</v>
      </c>
      <c r="E1052" s="90" t="s">
        <v>12391</v>
      </c>
      <c r="F1052" s="91">
        <v>46084</v>
      </c>
      <c r="G1052" s="92">
        <v>48701</v>
      </c>
      <c r="H1052" s="90" t="s">
        <v>7</v>
      </c>
      <c r="I10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52" s="90" t="s">
        <v>10424</v>
      </c>
    </row>
    <row r="1053" spans="1:11">
      <c r="A1053" s="90" t="s">
        <v>8763</v>
      </c>
      <c r="B1053" s="90" t="s">
        <v>8764</v>
      </c>
      <c r="C1053" s="90" t="s">
        <v>6</v>
      </c>
      <c r="D1053" s="90" t="str">
        <f>VLOOKUP(Tabela1[[#This Row],[Origem]],'Perguntas 1 a 24'!$J$28:$K$34,2,FALSE)</f>
        <v>Nordeste</v>
      </c>
      <c r="E1053" s="90" t="s">
        <v>12392</v>
      </c>
      <c r="F1053" s="91">
        <v>46086</v>
      </c>
      <c r="G1053" s="92">
        <v>69510</v>
      </c>
      <c r="H1053" s="90" t="s">
        <v>11</v>
      </c>
      <c r="I10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53" s="90" t="s">
        <v>8764</v>
      </c>
    </row>
    <row r="1054" spans="1:11">
      <c r="A1054" s="90" t="s">
        <v>3788</v>
      </c>
      <c r="B1054" s="90" t="s">
        <v>3789</v>
      </c>
      <c r="C1054" s="90" t="s">
        <v>12</v>
      </c>
      <c r="D1054" s="90" t="str">
        <f>VLOOKUP(Tabela1[[#This Row],[Origem]],'Perguntas 1 a 24'!$J$28:$K$34,2,FALSE)</f>
        <v>Sudeste</v>
      </c>
      <c r="E1054" s="90" t="s">
        <v>12393</v>
      </c>
      <c r="F1054" s="91">
        <v>46088</v>
      </c>
      <c r="G1054" s="92">
        <v>45065</v>
      </c>
      <c r="H1054" s="90" t="s">
        <v>11</v>
      </c>
      <c r="I10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54" s="90" t="s">
        <v>3789</v>
      </c>
    </row>
    <row r="1055" spans="1:11">
      <c r="A1055" s="90" t="s">
        <v>5286</v>
      </c>
      <c r="B1055" s="90" t="s">
        <v>5287</v>
      </c>
      <c r="C1055" s="90" t="s">
        <v>6</v>
      </c>
      <c r="D1055" s="90" t="str">
        <f>VLOOKUP(Tabela1[[#This Row],[Origem]],'Perguntas 1 a 24'!$J$28:$K$34,2,FALSE)</f>
        <v>Nordeste</v>
      </c>
      <c r="E1055" s="90" t="s">
        <v>12394</v>
      </c>
      <c r="F1055" s="91">
        <v>46088</v>
      </c>
      <c r="G1055" s="92">
        <v>85286</v>
      </c>
      <c r="H1055" s="90" t="s">
        <v>9</v>
      </c>
      <c r="I10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55" s="90" t="s">
        <v>5287</v>
      </c>
    </row>
    <row r="1056" spans="1:11">
      <c r="A1056" s="90" t="s">
        <v>9573</v>
      </c>
      <c r="B1056" s="90" t="s">
        <v>9574</v>
      </c>
      <c r="C1056" s="90" t="s">
        <v>13</v>
      </c>
      <c r="D1056" s="90" t="str">
        <f>VLOOKUP(Tabela1[[#This Row],[Origem]],'Perguntas 1 a 24'!$J$28:$K$34,2,FALSE)</f>
        <v>Sudeste</v>
      </c>
      <c r="E1056" s="90" t="s">
        <v>12395</v>
      </c>
      <c r="F1056" s="91">
        <v>46089</v>
      </c>
      <c r="G1056" s="92">
        <v>80116</v>
      </c>
      <c r="H1056" s="90" t="s">
        <v>14</v>
      </c>
      <c r="I10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56" s="90" t="s">
        <v>9574</v>
      </c>
    </row>
    <row r="1057" spans="1:11">
      <c r="A1057" s="90" t="s">
        <v>5632</v>
      </c>
      <c r="B1057" s="90" t="s">
        <v>5633</v>
      </c>
      <c r="C1057" s="90" t="s">
        <v>6</v>
      </c>
      <c r="D1057" s="90" t="str">
        <f>VLOOKUP(Tabela1[[#This Row],[Origem]],'Perguntas 1 a 24'!$J$28:$K$34,2,FALSE)</f>
        <v>Nordeste</v>
      </c>
      <c r="E1057" s="90" t="s">
        <v>12396</v>
      </c>
      <c r="F1057" s="91">
        <v>46091</v>
      </c>
      <c r="G1057" s="92">
        <v>20803</v>
      </c>
      <c r="H1057" s="90" t="s">
        <v>14</v>
      </c>
      <c r="I10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57" s="90" t="s">
        <v>5633</v>
      </c>
    </row>
    <row r="1058" spans="1:11">
      <c r="A1058" s="90" t="s">
        <v>10375</v>
      </c>
      <c r="B1058" s="90" t="s">
        <v>10376</v>
      </c>
      <c r="C1058" s="90" t="s">
        <v>16</v>
      </c>
      <c r="D1058" s="90" t="str">
        <f>VLOOKUP(Tabela1[[#This Row],[Origem]],'Perguntas 1 a 24'!$J$28:$K$34,2,FALSE)</f>
        <v>Sudeste</v>
      </c>
      <c r="E1058" s="90" t="s">
        <v>12397</v>
      </c>
      <c r="F1058" s="91">
        <v>46095</v>
      </c>
      <c r="G1058" s="92">
        <v>89319</v>
      </c>
      <c r="H1058" s="90" t="s">
        <v>7</v>
      </c>
      <c r="I10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58" s="90" t="s">
        <v>10376</v>
      </c>
    </row>
    <row r="1059" spans="1:11">
      <c r="A1059" s="90" t="s">
        <v>7618</v>
      </c>
      <c r="B1059" s="90" t="s">
        <v>7619</v>
      </c>
      <c r="C1059" s="90" t="s">
        <v>15</v>
      </c>
      <c r="D1059" s="90" t="str">
        <f>VLOOKUP(Tabela1[[#This Row],[Origem]],'Perguntas 1 a 24'!$J$28:$K$34,2,FALSE)</f>
        <v>Sudeste</v>
      </c>
      <c r="E1059" s="90" t="s">
        <v>12398</v>
      </c>
      <c r="F1059" s="91">
        <v>46096</v>
      </c>
      <c r="G1059" s="92">
        <v>77444</v>
      </c>
      <c r="H1059" s="90" t="s">
        <v>14</v>
      </c>
      <c r="I10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59" s="90" t="s">
        <v>7619</v>
      </c>
    </row>
    <row r="1060" spans="1:11">
      <c r="A1060" s="90" t="s">
        <v>10715</v>
      </c>
      <c r="B1060" s="90" t="s">
        <v>10716</v>
      </c>
      <c r="C1060" s="90" t="s">
        <v>6</v>
      </c>
      <c r="D1060" s="90" t="str">
        <f>VLOOKUP(Tabela1[[#This Row],[Origem]],'Perguntas 1 a 24'!$J$28:$K$34,2,FALSE)</f>
        <v>Nordeste</v>
      </c>
      <c r="E1060" s="90" t="s">
        <v>12399</v>
      </c>
      <c r="F1060" s="91">
        <v>46096</v>
      </c>
      <c r="G1060" s="92">
        <v>23284</v>
      </c>
      <c r="H1060" s="90" t="s">
        <v>11</v>
      </c>
      <c r="I10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60" s="90" t="s">
        <v>10716</v>
      </c>
    </row>
    <row r="1061" spans="1:11">
      <c r="A1061" s="90" t="s">
        <v>11024</v>
      </c>
      <c r="B1061" s="90" t="s">
        <v>11025</v>
      </c>
      <c r="C1061" s="90" t="s">
        <v>6</v>
      </c>
      <c r="D1061" s="90" t="str">
        <f>VLOOKUP(Tabela1[[#This Row],[Origem]],'Perguntas 1 a 24'!$J$28:$K$34,2,FALSE)</f>
        <v>Nordeste</v>
      </c>
      <c r="E1061" s="90" t="s">
        <v>12400</v>
      </c>
      <c r="F1061" s="91">
        <v>46096</v>
      </c>
      <c r="G1061" s="92">
        <v>63116</v>
      </c>
      <c r="H1061" s="90" t="s">
        <v>9</v>
      </c>
      <c r="I10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61" s="90" t="s">
        <v>11025</v>
      </c>
    </row>
    <row r="1062" spans="1:11">
      <c r="A1062" s="90" t="s">
        <v>4982</v>
      </c>
      <c r="B1062" s="90" t="s">
        <v>4983</v>
      </c>
      <c r="C1062" s="90" t="s">
        <v>12</v>
      </c>
      <c r="D1062" s="90" t="str">
        <f>VLOOKUP(Tabela1[[#This Row],[Origem]],'Perguntas 1 a 24'!$J$28:$K$34,2,FALSE)</f>
        <v>Sudeste</v>
      </c>
      <c r="E1062" s="90" t="s">
        <v>12401</v>
      </c>
      <c r="F1062" s="91">
        <v>46097</v>
      </c>
      <c r="G1062" s="92">
        <v>48678</v>
      </c>
      <c r="H1062" s="90" t="s">
        <v>9</v>
      </c>
      <c r="I10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62" s="90" t="s">
        <v>4983</v>
      </c>
    </row>
    <row r="1063" spans="1:11">
      <c r="A1063" s="90" t="s">
        <v>6320</v>
      </c>
      <c r="B1063" s="90" t="s">
        <v>6321</v>
      </c>
      <c r="C1063" s="90" t="s">
        <v>15</v>
      </c>
      <c r="D1063" s="90" t="str">
        <f>VLOOKUP(Tabela1[[#This Row],[Origem]],'Perguntas 1 a 24'!$J$28:$K$34,2,FALSE)</f>
        <v>Sudeste</v>
      </c>
      <c r="E1063" s="90" t="s">
        <v>12402</v>
      </c>
      <c r="F1063" s="91">
        <v>46097</v>
      </c>
      <c r="G1063" s="92">
        <v>119721</v>
      </c>
      <c r="H1063" s="90" t="s">
        <v>9</v>
      </c>
      <c r="I10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63" s="90" t="s">
        <v>6321</v>
      </c>
    </row>
    <row r="1064" spans="1:11">
      <c r="A1064" s="90" t="s">
        <v>3673</v>
      </c>
      <c r="B1064" s="90" t="s">
        <v>3674</v>
      </c>
      <c r="C1064" s="90" t="s">
        <v>13</v>
      </c>
      <c r="D1064" s="90" t="str">
        <f>VLOOKUP(Tabela1[[#This Row],[Origem]],'Perguntas 1 a 24'!$J$28:$K$34,2,FALSE)</f>
        <v>Sudeste</v>
      </c>
      <c r="E1064" s="90" t="s">
        <v>12403</v>
      </c>
      <c r="F1064" s="91">
        <v>46098</v>
      </c>
      <c r="G1064" s="92">
        <v>78039</v>
      </c>
      <c r="H1064" s="90" t="s">
        <v>11</v>
      </c>
      <c r="I10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64" s="90" t="s">
        <v>3674</v>
      </c>
    </row>
    <row r="1065" spans="1:11">
      <c r="A1065" s="90" t="s">
        <v>5476</v>
      </c>
      <c r="B1065" s="90" t="s">
        <v>5477</v>
      </c>
      <c r="C1065" s="90" t="s">
        <v>16</v>
      </c>
      <c r="D1065" s="90" t="str">
        <f>VLOOKUP(Tabela1[[#This Row],[Origem]],'Perguntas 1 a 24'!$J$28:$K$34,2,FALSE)</f>
        <v>Sudeste</v>
      </c>
      <c r="E1065" s="90" t="s">
        <v>12404</v>
      </c>
      <c r="F1065" s="91">
        <v>46098</v>
      </c>
      <c r="G1065" s="92">
        <v>57149</v>
      </c>
      <c r="H1065" s="90" t="s">
        <v>14</v>
      </c>
      <c r="I10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65" s="90" t="s">
        <v>5477</v>
      </c>
    </row>
    <row r="1066" spans="1:11">
      <c r="A1066" s="90" t="s">
        <v>8713</v>
      </c>
      <c r="B1066" s="90" t="s">
        <v>8714</v>
      </c>
      <c r="C1066" s="90" t="s">
        <v>10</v>
      </c>
      <c r="D1066" s="90" t="str">
        <f>VLOOKUP(Tabela1[[#This Row],[Origem]],'Perguntas 1 a 24'!$J$28:$K$34,2,FALSE)</f>
        <v>Centro-Oeste</v>
      </c>
      <c r="E1066" s="90" t="s">
        <v>12405</v>
      </c>
      <c r="F1066" s="91">
        <v>46099</v>
      </c>
      <c r="G1066" s="92">
        <v>55881</v>
      </c>
      <c r="H1066" s="90" t="s">
        <v>11</v>
      </c>
      <c r="I10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66" s="90" t="s">
        <v>8714</v>
      </c>
    </row>
    <row r="1067" spans="1:11">
      <c r="A1067" s="90" t="s">
        <v>4367</v>
      </c>
      <c r="B1067" s="90" t="s">
        <v>4368</v>
      </c>
      <c r="C1067" s="90" t="s">
        <v>10</v>
      </c>
      <c r="D1067" s="90" t="str">
        <f>VLOOKUP(Tabela1[[#This Row],[Origem]],'Perguntas 1 a 24'!$J$28:$K$34,2,FALSE)</f>
        <v>Centro-Oeste</v>
      </c>
      <c r="E1067" s="90" t="s">
        <v>12406</v>
      </c>
      <c r="F1067" s="91">
        <v>46100</v>
      </c>
      <c r="G1067" s="92">
        <v>62341</v>
      </c>
      <c r="H1067" s="90" t="s">
        <v>9</v>
      </c>
      <c r="I10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67" s="90" t="s">
        <v>4368</v>
      </c>
    </row>
    <row r="1068" spans="1:11">
      <c r="A1068" s="90" t="s">
        <v>5450</v>
      </c>
      <c r="B1068" s="90" t="s">
        <v>5451</v>
      </c>
      <c r="C1068" s="90" t="s">
        <v>8</v>
      </c>
      <c r="D1068" s="90" t="str">
        <f>VLOOKUP(Tabela1[[#This Row],[Origem]],'Perguntas 1 a 24'!$J$28:$K$34,2,FALSE)</f>
        <v>Nordeste</v>
      </c>
      <c r="E1068" s="90" t="s">
        <v>12407</v>
      </c>
      <c r="F1068" s="91">
        <v>46100</v>
      </c>
      <c r="G1068" s="92">
        <v>71549</v>
      </c>
      <c r="H1068" s="90" t="s">
        <v>7</v>
      </c>
      <c r="I10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68" s="90" t="s">
        <v>5451</v>
      </c>
    </row>
    <row r="1069" spans="1:11">
      <c r="A1069" s="90" t="s">
        <v>9223</v>
      </c>
      <c r="B1069" s="90" t="s">
        <v>9224</v>
      </c>
      <c r="C1069" s="90" t="s">
        <v>10</v>
      </c>
      <c r="D1069" s="90" t="str">
        <f>VLOOKUP(Tabela1[[#This Row],[Origem]],'Perguntas 1 a 24'!$J$28:$K$34,2,FALSE)</f>
        <v>Centro-Oeste</v>
      </c>
      <c r="E1069" s="90" t="s">
        <v>12408</v>
      </c>
      <c r="F1069" s="91">
        <v>46100</v>
      </c>
      <c r="G1069" s="92">
        <v>69892</v>
      </c>
      <c r="H1069" s="90" t="s">
        <v>9</v>
      </c>
      <c r="I10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69" s="90" t="s">
        <v>9224</v>
      </c>
    </row>
    <row r="1070" spans="1:11">
      <c r="A1070" s="90" t="s">
        <v>9623</v>
      </c>
      <c r="B1070" s="90" t="s">
        <v>9624</v>
      </c>
      <c r="C1070" s="90" t="s">
        <v>16</v>
      </c>
      <c r="D1070" s="90" t="str">
        <f>VLOOKUP(Tabela1[[#This Row],[Origem]],'Perguntas 1 a 24'!$J$28:$K$34,2,FALSE)</f>
        <v>Sudeste</v>
      </c>
      <c r="E1070" s="90" t="s">
        <v>12409</v>
      </c>
      <c r="F1070" s="91">
        <v>46100</v>
      </c>
      <c r="G1070" s="92">
        <v>21906</v>
      </c>
      <c r="H1070" s="90" t="s">
        <v>14</v>
      </c>
      <c r="I10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70" s="90" t="s">
        <v>9624</v>
      </c>
    </row>
    <row r="1071" spans="1:11">
      <c r="A1071" s="90" t="s">
        <v>9755</v>
      </c>
      <c r="B1071" s="90" t="s">
        <v>9756</v>
      </c>
      <c r="C1071" s="90" t="s">
        <v>12</v>
      </c>
      <c r="D1071" s="90" t="str">
        <f>VLOOKUP(Tabela1[[#This Row],[Origem]],'Perguntas 1 a 24'!$J$28:$K$34,2,FALSE)</f>
        <v>Sudeste</v>
      </c>
      <c r="E1071" s="90" t="s">
        <v>12410</v>
      </c>
      <c r="F1071" s="91">
        <v>46100</v>
      </c>
      <c r="G1071" s="92">
        <v>117461</v>
      </c>
      <c r="H1071" s="90" t="s">
        <v>9</v>
      </c>
      <c r="I10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71" s="90" t="s">
        <v>9756</v>
      </c>
    </row>
    <row r="1072" spans="1:11">
      <c r="A1072" s="90" t="s">
        <v>7254</v>
      </c>
      <c r="B1072" s="90" t="s">
        <v>7255</v>
      </c>
      <c r="C1072" s="90" t="s">
        <v>12</v>
      </c>
      <c r="D1072" s="90" t="str">
        <f>VLOOKUP(Tabela1[[#This Row],[Origem]],'Perguntas 1 a 24'!$J$28:$K$34,2,FALSE)</f>
        <v>Sudeste</v>
      </c>
      <c r="E1072" s="90" t="s">
        <v>12411</v>
      </c>
      <c r="F1072" s="91">
        <v>46101</v>
      </c>
      <c r="G1072" s="92">
        <v>48940</v>
      </c>
      <c r="H1072" s="90" t="s">
        <v>9</v>
      </c>
      <c r="I10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72" s="90" t="s">
        <v>7255</v>
      </c>
    </row>
    <row r="1073" spans="1:11">
      <c r="A1073" s="90" t="s">
        <v>4582</v>
      </c>
      <c r="B1073" s="90" t="s">
        <v>4583</v>
      </c>
      <c r="C1073" s="90" t="s">
        <v>13</v>
      </c>
      <c r="D1073" s="90" t="str">
        <f>VLOOKUP(Tabela1[[#This Row],[Origem]],'Perguntas 1 a 24'!$J$28:$K$34,2,FALSE)</f>
        <v>Sudeste</v>
      </c>
      <c r="E1073" s="90" t="s">
        <v>12412</v>
      </c>
      <c r="F1073" s="91">
        <v>46102</v>
      </c>
      <c r="G1073" s="92">
        <v>81865</v>
      </c>
      <c r="H1073" s="90" t="s">
        <v>14</v>
      </c>
      <c r="I10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73" s="90" t="s">
        <v>4583</v>
      </c>
    </row>
    <row r="1074" spans="1:11">
      <c r="A1074" s="90" t="s">
        <v>4253</v>
      </c>
      <c r="B1074" s="90" t="s">
        <v>4254</v>
      </c>
      <c r="C1074" s="90" t="s">
        <v>12</v>
      </c>
      <c r="D1074" s="90" t="str">
        <f>VLOOKUP(Tabela1[[#This Row],[Origem]],'Perguntas 1 a 24'!$J$28:$K$34,2,FALSE)</f>
        <v>Sudeste</v>
      </c>
      <c r="E1074" s="90" t="s">
        <v>12413</v>
      </c>
      <c r="F1074" s="91">
        <v>46104</v>
      </c>
      <c r="G1074" s="92">
        <v>79508</v>
      </c>
      <c r="H1074" s="90" t="s">
        <v>9</v>
      </c>
      <c r="I10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74" s="90" t="s">
        <v>4254</v>
      </c>
    </row>
    <row r="1075" spans="1:11">
      <c r="A1075" s="90" t="s">
        <v>8128</v>
      </c>
      <c r="B1075" s="90" t="s">
        <v>8129</v>
      </c>
      <c r="C1075" s="90" t="s">
        <v>16</v>
      </c>
      <c r="D1075" s="90" t="str">
        <f>VLOOKUP(Tabela1[[#This Row],[Origem]],'Perguntas 1 a 24'!$J$28:$K$34,2,FALSE)</f>
        <v>Sudeste</v>
      </c>
      <c r="E1075" s="90" t="s">
        <v>12414</v>
      </c>
      <c r="F1075" s="91">
        <v>46104</v>
      </c>
      <c r="G1075" s="92">
        <v>68187</v>
      </c>
      <c r="H1075" s="90" t="s">
        <v>9</v>
      </c>
      <c r="I10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75" s="90" t="s">
        <v>8129</v>
      </c>
    </row>
    <row r="1076" spans="1:11">
      <c r="A1076" s="90" t="s">
        <v>9355</v>
      </c>
      <c r="B1076" s="90" t="s">
        <v>9356</v>
      </c>
      <c r="C1076" s="90" t="s">
        <v>16</v>
      </c>
      <c r="D1076" s="90" t="str">
        <f>VLOOKUP(Tabela1[[#This Row],[Origem]],'Perguntas 1 a 24'!$J$28:$K$34,2,FALSE)</f>
        <v>Sudeste</v>
      </c>
      <c r="E1076" s="90" t="s">
        <v>12415</v>
      </c>
      <c r="F1076" s="91">
        <v>46104</v>
      </c>
      <c r="G1076" s="92">
        <v>55792</v>
      </c>
      <c r="H1076" s="90" t="s">
        <v>14</v>
      </c>
      <c r="I10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76" s="90" t="s">
        <v>9356</v>
      </c>
    </row>
    <row r="1077" spans="1:11">
      <c r="A1077" s="90" t="s">
        <v>6680</v>
      </c>
      <c r="B1077" s="90" t="s">
        <v>6681</v>
      </c>
      <c r="C1077" s="90" t="s">
        <v>16</v>
      </c>
      <c r="D1077" s="90" t="str">
        <f>VLOOKUP(Tabela1[[#This Row],[Origem]],'Perguntas 1 a 24'!$J$28:$K$34,2,FALSE)</f>
        <v>Sudeste</v>
      </c>
      <c r="E1077" s="90" t="s">
        <v>12416</v>
      </c>
      <c r="F1077" s="91">
        <v>46105</v>
      </c>
      <c r="G1077" s="92">
        <v>28707</v>
      </c>
      <c r="H1077" s="90" t="s">
        <v>11</v>
      </c>
      <c r="I10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77" s="90" t="s">
        <v>6681</v>
      </c>
    </row>
    <row r="1078" spans="1:11">
      <c r="A1078" s="90" t="s">
        <v>9763</v>
      </c>
      <c r="B1078" s="90" t="s">
        <v>9764</v>
      </c>
      <c r="C1078" s="90" t="s">
        <v>16</v>
      </c>
      <c r="D1078" s="90" t="str">
        <f>VLOOKUP(Tabela1[[#This Row],[Origem]],'Perguntas 1 a 24'!$J$28:$K$34,2,FALSE)</f>
        <v>Sudeste</v>
      </c>
      <c r="E1078" s="90" t="s">
        <v>12417</v>
      </c>
      <c r="F1078" s="91">
        <v>46105</v>
      </c>
      <c r="G1078" s="92">
        <v>56394</v>
      </c>
      <c r="H1078" s="90" t="s">
        <v>7</v>
      </c>
      <c r="I10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78" s="90" t="s">
        <v>9764</v>
      </c>
    </row>
    <row r="1079" spans="1:11">
      <c r="A1079" s="90" t="s">
        <v>4291</v>
      </c>
      <c r="B1079" s="90" t="s">
        <v>4292</v>
      </c>
      <c r="C1079" s="90" t="s">
        <v>10</v>
      </c>
      <c r="D1079" s="90" t="str">
        <f>VLOOKUP(Tabela1[[#This Row],[Origem]],'Perguntas 1 a 24'!$J$28:$K$34,2,FALSE)</f>
        <v>Centro-Oeste</v>
      </c>
      <c r="E1079" s="90" t="s">
        <v>12418</v>
      </c>
      <c r="F1079" s="91">
        <v>46106</v>
      </c>
      <c r="G1079" s="92">
        <v>37646</v>
      </c>
      <c r="H1079" s="90" t="s">
        <v>11</v>
      </c>
      <c r="I10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79" s="90" t="s">
        <v>4292</v>
      </c>
    </row>
    <row r="1080" spans="1:11">
      <c r="A1080" s="90" t="s">
        <v>8901</v>
      </c>
      <c r="B1080" s="90" t="s">
        <v>8902</v>
      </c>
      <c r="C1080" s="90" t="s">
        <v>12</v>
      </c>
      <c r="D1080" s="90" t="str">
        <f>VLOOKUP(Tabela1[[#This Row],[Origem]],'Perguntas 1 a 24'!$J$28:$K$34,2,FALSE)</f>
        <v>Sudeste</v>
      </c>
      <c r="E1080" s="90" t="s">
        <v>12419</v>
      </c>
      <c r="F1080" s="91">
        <v>46106</v>
      </c>
      <c r="G1080" s="92">
        <v>103562</v>
      </c>
      <c r="H1080" s="90" t="s">
        <v>14</v>
      </c>
      <c r="I10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0" s="90" t="s">
        <v>8902</v>
      </c>
    </row>
    <row r="1081" spans="1:11">
      <c r="A1081" s="90" t="s">
        <v>6498</v>
      </c>
      <c r="B1081" s="90" t="s">
        <v>6499</v>
      </c>
      <c r="C1081" s="90" t="s">
        <v>6</v>
      </c>
      <c r="D1081" s="90" t="str">
        <f>VLOOKUP(Tabela1[[#This Row],[Origem]],'Perguntas 1 a 24'!$J$28:$K$34,2,FALSE)</f>
        <v>Nordeste</v>
      </c>
      <c r="E1081" s="90" t="s">
        <v>12420</v>
      </c>
      <c r="F1081" s="91">
        <v>46108</v>
      </c>
      <c r="G1081" s="92">
        <v>70299</v>
      </c>
      <c r="H1081" s="90" t="s">
        <v>9</v>
      </c>
      <c r="I10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1" s="90" t="s">
        <v>6499</v>
      </c>
    </row>
    <row r="1082" spans="1:11">
      <c r="A1082" s="90" t="s">
        <v>4958</v>
      </c>
      <c r="B1082" s="90" t="s">
        <v>4959</v>
      </c>
      <c r="C1082" s="90" t="s">
        <v>6</v>
      </c>
      <c r="D1082" s="90" t="str">
        <f>VLOOKUP(Tabela1[[#This Row],[Origem]],'Perguntas 1 a 24'!$J$28:$K$34,2,FALSE)</f>
        <v>Nordeste</v>
      </c>
      <c r="E1082" s="90" t="s">
        <v>12421</v>
      </c>
      <c r="F1082" s="91">
        <v>46113</v>
      </c>
      <c r="G1082" s="92">
        <v>69179</v>
      </c>
      <c r="H1082" s="90" t="s">
        <v>9</v>
      </c>
      <c r="I10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2" s="90" t="s">
        <v>4959</v>
      </c>
    </row>
    <row r="1083" spans="1:11">
      <c r="A1083" s="90" t="s">
        <v>7950</v>
      </c>
      <c r="B1083" s="90" t="s">
        <v>7951</v>
      </c>
      <c r="C1083" s="90" t="s">
        <v>6</v>
      </c>
      <c r="D1083" s="90" t="str">
        <f>VLOOKUP(Tabela1[[#This Row],[Origem]],'Perguntas 1 a 24'!$J$28:$K$34,2,FALSE)</f>
        <v>Nordeste</v>
      </c>
      <c r="E1083" s="90" t="s">
        <v>12422</v>
      </c>
      <c r="F1083" s="91">
        <v>46113</v>
      </c>
      <c r="G1083" s="92">
        <v>62881</v>
      </c>
      <c r="H1083" s="90" t="s">
        <v>9</v>
      </c>
      <c r="I10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3" s="90" t="s">
        <v>7951</v>
      </c>
    </row>
    <row r="1084" spans="1:11">
      <c r="A1084" s="90" t="s">
        <v>8442</v>
      </c>
      <c r="B1084" s="90" t="s">
        <v>8443</v>
      </c>
      <c r="C1084" s="90" t="s">
        <v>12</v>
      </c>
      <c r="D1084" s="90" t="str">
        <f>VLOOKUP(Tabela1[[#This Row],[Origem]],'Perguntas 1 a 24'!$J$28:$K$34,2,FALSE)</f>
        <v>Sudeste</v>
      </c>
      <c r="E1084" s="90" t="s">
        <v>12423</v>
      </c>
      <c r="F1084" s="91">
        <v>46113</v>
      </c>
      <c r="G1084" s="92">
        <v>99136</v>
      </c>
      <c r="H1084" s="90" t="s">
        <v>7</v>
      </c>
      <c r="I10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4" s="90" t="s">
        <v>8443</v>
      </c>
    </row>
    <row r="1085" spans="1:11">
      <c r="A1085" s="90" t="s">
        <v>6590</v>
      </c>
      <c r="B1085" s="90" t="s">
        <v>6591</v>
      </c>
      <c r="C1085" s="90" t="s">
        <v>8</v>
      </c>
      <c r="D1085" s="90" t="str">
        <f>VLOOKUP(Tabela1[[#This Row],[Origem]],'Perguntas 1 a 24'!$J$28:$K$34,2,FALSE)</f>
        <v>Nordeste</v>
      </c>
      <c r="E1085" s="90" t="s">
        <v>12424</v>
      </c>
      <c r="F1085" s="91">
        <v>46114</v>
      </c>
      <c r="G1085" s="92">
        <v>79066</v>
      </c>
      <c r="H1085" s="90" t="s">
        <v>9</v>
      </c>
      <c r="I10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5" s="90" t="s">
        <v>6591</v>
      </c>
    </row>
    <row r="1086" spans="1:11">
      <c r="A1086" s="90" t="s">
        <v>4002</v>
      </c>
      <c r="B1086" s="90" t="s">
        <v>4003</v>
      </c>
      <c r="C1086" s="90" t="s">
        <v>12</v>
      </c>
      <c r="D1086" s="90" t="str">
        <f>VLOOKUP(Tabela1[[#This Row],[Origem]],'Perguntas 1 a 24'!$J$28:$K$34,2,FALSE)</f>
        <v>Sudeste</v>
      </c>
      <c r="E1086" s="90" t="s">
        <v>12425</v>
      </c>
      <c r="F1086" s="91">
        <v>46115</v>
      </c>
      <c r="G1086" s="92">
        <v>88238</v>
      </c>
      <c r="H1086" s="90" t="s">
        <v>14</v>
      </c>
      <c r="I10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6" s="90" t="s">
        <v>4003</v>
      </c>
    </row>
    <row r="1087" spans="1:11">
      <c r="A1087" s="90" t="s">
        <v>5320</v>
      </c>
      <c r="B1087" s="90" t="s">
        <v>5321</v>
      </c>
      <c r="C1087" s="90" t="s">
        <v>13</v>
      </c>
      <c r="D1087" s="90" t="str">
        <f>VLOOKUP(Tabela1[[#This Row],[Origem]],'Perguntas 1 a 24'!$J$28:$K$34,2,FALSE)</f>
        <v>Sudeste</v>
      </c>
      <c r="E1087" s="90" t="s">
        <v>12426</v>
      </c>
      <c r="F1087" s="91">
        <v>46115</v>
      </c>
      <c r="G1087" s="92">
        <v>27585</v>
      </c>
      <c r="H1087" s="90" t="s">
        <v>7</v>
      </c>
      <c r="I10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87" s="90" t="s">
        <v>5321</v>
      </c>
    </row>
    <row r="1088" spans="1:11">
      <c r="A1088" s="90" t="s">
        <v>5920</v>
      </c>
      <c r="B1088" s="90" t="s">
        <v>5921</v>
      </c>
      <c r="C1088" s="90" t="s">
        <v>16</v>
      </c>
      <c r="D1088" s="90" t="str">
        <f>VLOOKUP(Tabela1[[#This Row],[Origem]],'Perguntas 1 a 24'!$J$28:$K$34,2,FALSE)</f>
        <v>Sudeste</v>
      </c>
      <c r="E1088" s="90" t="s">
        <v>12427</v>
      </c>
      <c r="F1088" s="91">
        <v>46115</v>
      </c>
      <c r="G1088" s="92">
        <v>57311</v>
      </c>
      <c r="H1088" s="90" t="s">
        <v>14</v>
      </c>
      <c r="I10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8" s="90" t="s">
        <v>5921</v>
      </c>
    </row>
    <row r="1089" spans="1:11">
      <c r="A1089" s="90" t="s">
        <v>10385</v>
      </c>
      <c r="B1089" s="90" t="s">
        <v>10386</v>
      </c>
      <c r="C1089" s="90" t="s">
        <v>10</v>
      </c>
      <c r="D1089" s="90" t="str">
        <f>VLOOKUP(Tabela1[[#This Row],[Origem]],'Perguntas 1 a 24'!$J$28:$K$34,2,FALSE)</f>
        <v>Centro-Oeste</v>
      </c>
      <c r="E1089" s="90" t="s">
        <v>12428</v>
      </c>
      <c r="F1089" s="91">
        <v>46115</v>
      </c>
      <c r="G1089" s="92">
        <v>74793</v>
      </c>
      <c r="H1089" s="90" t="s">
        <v>9</v>
      </c>
      <c r="I10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89" s="90" t="s">
        <v>10386</v>
      </c>
    </row>
    <row r="1090" spans="1:11">
      <c r="A1090" s="90" t="s">
        <v>6334</v>
      </c>
      <c r="B1090" s="90" t="s">
        <v>6335</v>
      </c>
      <c r="C1090" s="90" t="s">
        <v>15</v>
      </c>
      <c r="D1090" s="90" t="str">
        <f>VLOOKUP(Tabela1[[#This Row],[Origem]],'Perguntas 1 a 24'!$J$28:$K$34,2,FALSE)</f>
        <v>Sudeste</v>
      </c>
      <c r="E1090" s="90" t="s">
        <v>12429</v>
      </c>
      <c r="F1090" s="91">
        <v>46117</v>
      </c>
      <c r="G1090" s="92">
        <v>68251</v>
      </c>
      <c r="H1090" s="90" t="s">
        <v>11</v>
      </c>
      <c r="I10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90" s="90" t="s">
        <v>6335</v>
      </c>
    </row>
    <row r="1091" spans="1:11">
      <c r="A1091" s="90" t="s">
        <v>10271</v>
      </c>
      <c r="B1091" s="90" t="s">
        <v>10272</v>
      </c>
      <c r="C1091" s="90" t="s">
        <v>10</v>
      </c>
      <c r="D1091" s="90" t="str">
        <f>VLOOKUP(Tabela1[[#This Row],[Origem]],'Perguntas 1 a 24'!$J$28:$K$34,2,FALSE)</f>
        <v>Centro-Oeste</v>
      </c>
      <c r="E1091" s="90" t="s">
        <v>12430</v>
      </c>
      <c r="F1091" s="91">
        <v>46117</v>
      </c>
      <c r="G1091" s="92">
        <v>22085</v>
      </c>
      <c r="H1091" s="90" t="s">
        <v>14</v>
      </c>
      <c r="I10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91" s="90" t="s">
        <v>10272</v>
      </c>
    </row>
    <row r="1092" spans="1:11">
      <c r="A1092" s="90" t="s">
        <v>4060</v>
      </c>
      <c r="B1092" s="90" t="s">
        <v>4061</v>
      </c>
      <c r="C1092" s="90" t="s">
        <v>12</v>
      </c>
      <c r="D1092" s="90" t="str">
        <f>VLOOKUP(Tabela1[[#This Row],[Origem]],'Perguntas 1 a 24'!$J$28:$K$34,2,FALSE)</f>
        <v>Sudeste</v>
      </c>
      <c r="E1092" s="90" t="s">
        <v>12431</v>
      </c>
      <c r="F1092" s="91">
        <v>46118</v>
      </c>
      <c r="G1092" s="92">
        <v>96097</v>
      </c>
      <c r="H1092" s="90" t="s">
        <v>11</v>
      </c>
      <c r="I10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92" s="90" t="s">
        <v>4061</v>
      </c>
    </row>
    <row r="1093" spans="1:11">
      <c r="A1093" s="90" t="s">
        <v>5312</v>
      </c>
      <c r="B1093" s="90" t="s">
        <v>5313</v>
      </c>
      <c r="C1093" s="90" t="s">
        <v>10</v>
      </c>
      <c r="D1093" s="90" t="str">
        <f>VLOOKUP(Tabela1[[#This Row],[Origem]],'Perguntas 1 a 24'!$J$28:$K$34,2,FALSE)</f>
        <v>Centro-Oeste</v>
      </c>
      <c r="E1093" s="90" t="s">
        <v>12432</v>
      </c>
      <c r="F1093" s="91">
        <v>46118</v>
      </c>
      <c r="G1093" s="92">
        <v>92407</v>
      </c>
      <c r="H1093" s="90" t="s">
        <v>9</v>
      </c>
      <c r="I10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93" s="90" t="s">
        <v>5313</v>
      </c>
    </row>
    <row r="1094" spans="1:11">
      <c r="A1094" s="90" t="s">
        <v>9403</v>
      </c>
      <c r="B1094" s="90" t="s">
        <v>9404</v>
      </c>
      <c r="C1094" s="90" t="s">
        <v>16</v>
      </c>
      <c r="D1094" s="90" t="str">
        <f>VLOOKUP(Tabela1[[#This Row],[Origem]],'Perguntas 1 a 24'!$J$28:$K$34,2,FALSE)</f>
        <v>Sudeste</v>
      </c>
      <c r="E1094" s="90" t="s">
        <v>12433</v>
      </c>
      <c r="F1094" s="91">
        <v>46118</v>
      </c>
      <c r="G1094" s="92">
        <v>117480</v>
      </c>
      <c r="H1094" s="90" t="s">
        <v>7</v>
      </c>
      <c r="I10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94" s="90" t="s">
        <v>9404</v>
      </c>
    </row>
    <row r="1095" spans="1:11">
      <c r="A1095" s="90" t="s">
        <v>5244</v>
      </c>
      <c r="B1095" s="90" t="s">
        <v>5245</v>
      </c>
      <c r="C1095" s="90" t="s">
        <v>8</v>
      </c>
      <c r="D1095" s="90" t="str">
        <f>VLOOKUP(Tabela1[[#This Row],[Origem]],'Perguntas 1 a 24'!$J$28:$K$34,2,FALSE)</f>
        <v>Nordeste</v>
      </c>
      <c r="E1095" s="90" t="s">
        <v>12434</v>
      </c>
      <c r="F1095" s="91">
        <v>46119</v>
      </c>
      <c r="G1095" s="92">
        <v>58677</v>
      </c>
      <c r="H1095" s="90" t="s">
        <v>14</v>
      </c>
      <c r="I10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95" s="90" t="s">
        <v>5245</v>
      </c>
    </row>
    <row r="1096" spans="1:11">
      <c r="A1096" s="90" t="s">
        <v>3744</v>
      </c>
      <c r="B1096" s="90" t="s">
        <v>3745</v>
      </c>
      <c r="C1096" s="90" t="s">
        <v>6</v>
      </c>
      <c r="D1096" s="90" t="str">
        <f>VLOOKUP(Tabela1[[#This Row],[Origem]],'Perguntas 1 a 24'!$J$28:$K$34,2,FALSE)</f>
        <v>Nordeste</v>
      </c>
      <c r="E1096" s="90" t="s">
        <v>12435</v>
      </c>
      <c r="F1096" s="91">
        <v>46120</v>
      </c>
      <c r="G1096" s="92">
        <v>76143</v>
      </c>
      <c r="H1096" s="90" t="s">
        <v>9</v>
      </c>
      <c r="I10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96" s="90" t="s">
        <v>3745</v>
      </c>
    </row>
    <row r="1097" spans="1:11">
      <c r="A1097" s="90" t="s">
        <v>5674</v>
      </c>
      <c r="B1097" s="90" t="s">
        <v>5675</v>
      </c>
      <c r="C1097" s="90" t="s">
        <v>6</v>
      </c>
      <c r="D1097" s="90" t="str">
        <f>VLOOKUP(Tabela1[[#This Row],[Origem]],'Perguntas 1 a 24'!$J$28:$K$34,2,FALSE)</f>
        <v>Nordeste</v>
      </c>
      <c r="E1097" s="90" t="s">
        <v>12436</v>
      </c>
      <c r="F1097" s="91">
        <v>46121</v>
      </c>
      <c r="G1097" s="92">
        <v>108390</v>
      </c>
      <c r="H1097" s="90" t="s">
        <v>14</v>
      </c>
      <c r="I10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97" s="90" t="s">
        <v>5675</v>
      </c>
    </row>
    <row r="1098" spans="1:11">
      <c r="A1098" s="90" t="s">
        <v>10955</v>
      </c>
      <c r="B1098" s="90" t="s">
        <v>10956</v>
      </c>
      <c r="C1098" s="90" t="s">
        <v>6</v>
      </c>
      <c r="D1098" s="90" t="str">
        <f>VLOOKUP(Tabela1[[#This Row],[Origem]],'Perguntas 1 a 24'!$J$28:$K$34,2,FALSE)</f>
        <v>Nordeste</v>
      </c>
      <c r="E1098" s="90" t="s">
        <v>12437</v>
      </c>
      <c r="F1098" s="91">
        <v>46121</v>
      </c>
      <c r="G1098" s="92">
        <v>20794</v>
      </c>
      <c r="H1098" s="90" t="s">
        <v>11</v>
      </c>
      <c r="I10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098" s="90" t="s">
        <v>10956</v>
      </c>
    </row>
    <row r="1099" spans="1:11">
      <c r="A1099" s="90" t="s">
        <v>4146</v>
      </c>
      <c r="B1099" s="90" t="s">
        <v>4147</v>
      </c>
      <c r="C1099" s="90" t="s">
        <v>16</v>
      </c>
      <c r="D1099" s="90" t="str">
        <f>VLOOKUP(Tabela1[[#This Row],[Origem]],'Perguntas 1 a 24'!$J$28:$K$34,2,FALSE)</f>
        <v>Sudeste</v>
      </c>
      <c r="E1099" s="90" t="s">
        <v>12438</v>
      </c>
      <c r="F1099" s="91">
        <v>46123</v>
      </c>
      <c r="G1099" s="92">
        <v>96378</v>
      </c>
      <c r="H1099" s="90" t="s">
        <v>7</v>
      </c>
      <c r="I10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099" s="90" t="s">
        <v>4147</v>
      </c>
    </row>
    <row r="1100" spans="1:11">
      <c r="A1100" s="90" t="s">
        <v>5848</v>
      </c>
      <c r="B1100" s="90" t="s">
        <v>5849</v>
      </c>
      <c r="C1100" s="90" t="s">
        <v>13</v>
      </c>
      <c r="D1100" s="90" t="str">
        <f>VLOOKUP(Tabela1[[#This Row],[Origem]],'Perguntas 1 a 24'!$J$28:$K$34,2,FALSE)</f>
        <v>Sudeste</v>
      </c>
      <c r="E1100" s="90" t="s">
        <v>12439</v>
      </c>
      <c r="F1100" s="91">
        <v>46123</v>
      </c>
      <c r="G1100" s="92">
        <v>70154</v>
      </c>
      <c r="H1100" s="90" t="s">
        <v>7</v>
      </c>
      <c r="I11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00" s="90" t="s">
        <v>5849</v>
      </c>
    </row>
    <row r="1101" spans="1:11">
      <c r="A1101" s="90" t="s">
        <v>4401</v>
      </c>
      <c r="B1101" s="90" t="s">
        <v>4402</v>
      </c>
      <c r="C1101" s="90" t="s">
        <v>10</v>
      </c>
      <c r="D1101" s="90" t="str">
        <f>VLOOKUP(Tabela1[[#This Row],[Origem]],'Perguntas 1 a 24'!$J$28:$K$34,2,FALSE)</f>
        <v>Centro-Oeste</v>
      </c>
      <c r="E1101" s="90" t="s">
        <v>12440</v>
      </c>
      <c r="F1101" s="91">
        <v>46124</v>
      </c>
      <c r="G1101" s="92">
        <v>101306</v>
      </c>
      <c r="H1101" s="90" t="s">
        <v>14</v>
      </c>
      <c r="I11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01" s="90" t="s">
        <v>4402</v>
      </c>
    </row>
    <row r="1102" spans="1:11">
      <c r="A1102" s="90" t="s">
        <v>5430</v>
      </c>
      <c r="B1102" s="90" t="s">
        <v>5431</v>
      </c>
      <c r="C1102" s="90" t="s">
        <v>6</v>
      </c>
      <c r="D1102" s="90" t="str">
        <f>VLOOKUP(Tabela1[[#This Row],[Origem]],'Perguntas 1 a 24'!$J$28:$K$34,2,FALSE)</f>
        <v>Nordeste</v>
      </c>
      <c r="E1102" s="90" t="s">
        <v>12441</v>
      </c>
      <c r="F1102" s="91">
        <v>46124</v>
      </c>
      <c r="G1102" s="92">
        <v>33682</v>
      </c>
      <c r="H1102" s="90" t="s">
        <v>11</v>
      </c>
      <c r="I11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02" s="90" t="s">
        <v>5431</v>
      </c>
    </row>
    <row r="1103" spans="1:11">
      <c r="A1103" s="90" t="s">
        <v>5428</v>
      </c>
      <c r="B1103" s="90" t="s">
        <v>5429</v>
      </c>
      <c r="C1103" s="90" t="s">
        <v>6</v>
      </c>
      <c r="D1103" s="90" t="str">
        <f>VLOOKUP(Tabela1[[#This Row],[Origem]],'Perguntas 1 a 24'!$J$28:$K$34,2,FALSE)</f>
        <v>Nordeste</v>
      </c>
      <c r="E1103" s="90" t="s">
        <v>12442</v>
      </c>
      <c r="F1103" s="91">
        <v>46125</v>
      </c>
      <c r="G1103" s="92">
        <v>71676</v>
      </c>
      <c r="H1103" s="90" t="s">
        <v>11</v>
      </c>
      <c r="I11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03" s="90" t="s">
        <v>5429</v>
      </c>
    </row>
    <row r="1104" spans="1:11">
      <c r="A1104" s="90" t="s">
        <v>7498</v>
      </c>
      <c r="B1104" s="90" t="s">
        <v>7499</v>
      </c>
      <c r="C1104" s="90" t="s">
        <v>10</v>
      </c>
      <c r="D1104" s="90" t="str">
        <f>VLOOKUP(Tabela1[[#This Row],[Origem]],'Perguntas 1 a 24'!$J$28:$K$34,2,FALSE)</f>
        <v>Centro-Oeste</v>
      </c>
      <c r="E1104" s="90" t="s">
        <v>12443</v>
      </c>
      <c r="F1104" s="91">
        <v>46125</v>
      </c>
      <c r="G1104" s="92">
        <v>49608</v>
      </c>
      <c r="H1104" s="90" t="s">
        <v>7</v>
      </c>
      <c r="I11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04" s="90" t="s">
        <v>7499</v>
      </c>
    </row>
    <row r="1105" spans="1:11">
      <c r="A1105" s="90" t="s">
        <v>8134</v>
      </c>
      <c r="B1105" s="90" t="s">
        <v>8135</v>
      </c>
      <c r="C1105" s="90" t="s">
        <v>10</v>
      </c>
      <c r="D1105" s="90" t="str">
        <f>VLOOKUP(Tabela1[[#This Row],[Origem]],'Perguntas 1 a 24'!$J$28:$K$34,2,FALSE)</f>
        <v>Centro-Oeste</v>
      </c>
      <c r="E1105" s="90" t="s">
        <v>12444</v>
      </c>
      <c r="F1105" s="91">
        <v>46126</v>
      </c>
      <c r="G1105" s="92">
        <v>112658</v>
      </c>
      <c r="H1105" s="90" t="s">
        <v>14</v>
      </c>
      <c r="I11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05" s="90" t="s">
        <v>8135</v>
      </c>
    </row>
    <row r="1106" spans="1:11">
      <c r="A1106" s="90" t="s">
        <v>4263</v>
      </c>
      <c r="B1106" s="90" t="s">
        <v>4264</v>
      </c>
      <c r="C1106" s="90" t="s">
        <v>12</v>
      </c>
      <c r="D1106" s="90" t="str">
        <f>VLOOKUP(Tabela1[[#This Row],[Origem]],'Perguntas 1 a 24'!$J$28:$K$34,2,FALSE)</f>
        <v>Sudeste</v>
      </c>
      <c r="E1106" s="90" t="s">
        <v>12445</v>
      </c>
      <c r="F1106" s="91">
        <v>46127</v>
      </c>
      <c r="G1106" s="92">
        <v>103790</v>
      </c>
      <c r="H1106" s="90" t="s">
        <v>14</v>
      </c>
      <c r="I11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06" s="90" t="s">
        <v>4264</v>
      </c>
    </row>
    <row r="1107" spans="1:11">
      <c r="A1107" s="90" t="s">
        <v>8104</v>
      </c>
      <c r="B1107" s="90" t="s">
        <v>8105</v>
      </c>
      <c r="C1107" s="90" t="s">
        <v>10</v>
      </c>
      <c r="D1107" s="90" t="str">
        <f>VLOOKUP(Tabela1[[#This Row],[Origem]],'Perguntas 1 a 24'!$J$28:$K$34,2,FALSE)</f>
        <v>Centro-Oeste</v>
      </c>
      <c r="E1107" s="90" t="s">
        <v>12446</v>
      </c>
      <c r="F1107" s="91">
        <v>46127</v>
      </c>
      <c r="G1107" s="92">
        <v>103525</v>
      </c>
      <c r="H1107" s="90" t="s">
        <v>9</v>
      </c>
      <c r="I11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07" s="90" t="s">
        <v>8105</v>
      </c>
    </row>
    <row r="1108" spans="1:11">
      <c r="A1108" s="90" t="s">
        <v>8703</v>
      </c>
      <c r="B1108" s="90" t="s">
        <v>8704</v>
      </c>
      <c r="C1108" s="90" t="s">
        <v>15</v>
      </c>
      <c r="D1108" s="90" t="str">
        <f>VLOOKUP(Tabela1[[#This Row],[Origem]],'Perguntas 1 a 24'!$J$28:$K$34,2,FALSE)</f>
        <v>Sudeste</v>
      </c>
      <c r="E1108" s="90" t="s">
        <v>12447</v>
      </c>
      <c r="F1108" s="91">
        <v>46127</v>
      </c>
      <c r="G1108" s="92">
        <v>101639</v>
      </c>
      <c r="H1108" s="90" t="s">
        <v>7</v>
      </c>
      <c r="I11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08" s="90" t="s">
        <v>8704</v>
      </c>
    </row>
    <row r="1109" spans="1:11">
      <c r="A1109" s="90" t="s">
        <v>10675</v>
      </c>
      <c r="B1109" s="90" t="s">
        <v>10676</v>
      </c>
      <c r="C1109" s="90" t="s">
        <v>13</v>
      </c>
      <c r="D1109" s="90" t="str">
        <f>VLOOKUP(Tabela1[[#This Row],[Origem]],'Perguntas 1 a 24'!$J$28:$K$34,2,FALSE)</f>
        <v>Sudeste</v>
      </c>
      <c r="E1109" s="90" t="s">
        <v>12448</v>
      </c>
      <c r="F1109" s="91">
        <v>46128</v>
      </c>
      <c r="G1109" s="92">
        <v>55679</v>
      </c>
      <c r="H1109" s="90" t="s">
        <v>7</v>
      </c>
      <c r="I11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09" s="90" t="s">
        <v>10676</v>
      </c>
    </row>
    <row r="1110" spans="1:11">
      <c r="A1110" s="90" t="s">
        <v>6068</v>
      </c>
      <c r="B1110" s="90" t="s">
        <v>6069</v>
      </c>
      <c r="C1110" s="90" t="s">
        <v>15</v>
      </c>
      <c r="D1110" s="90" t="str">
        <f>VLOOKUP(Tabela1[[#This Row],[Origem]],'Perguntas 1 a 24'!$J$28:$K$34,2,FALSE)</f>
        <v>Sudeste</v>
      </c>
      <c r="E1110" s="90" t="s">
        <v>12449</v>
      </c>
      <c r="F1110" s="91">
        <v>46129</v>
      </c>
      <c r="G1110" s="92">
        <v>34099</v>
      </c>
      <c r="H1110" s="90" t="s">
        <v>14</v>
      </c>
      <c r="I11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10" s="90" t="s">
        <v>6069</v>
      </c>
    </row>
    <row r="1111" spans="1:11">
      <c r="A1111" s="90" t="s">
        <v>4433</v>
      </c>
      <c r="B1111" s="90" t="s">
        <v>4434</v>
      </c>
      <c r="C1111" s="90" t="s">
        <v>6</v>
      </c>
      <c r="D1111" s="90" t="str">
        <f>VLOOKUP(Tabela1[[#This Row],[Origem]],'Perguntas 1 a 24'!$J$28:$K$34,2,FALSE)</f>
        <v>Nordeste</v>
      </c>
      <c r="E1111" s="90" t="s">
        <v>12450</v>
      </c>
      <c r="F1111" s="91">
        <v>46131</v>
      </c>
      <c r="G1111" s="92">
        <v>86436</v>
      </c>
      <c r="H1111" s="90" t="s">
        <v>9</v>
      </c>
      <c r="I11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11" s="90" t="s">
        <v>4434</v>
      </c>
    </row>
    <row r="1112" spans="1:11">
      <c r="A1112" s="90" t="s">
        <v>4510</v>
      </c>
      <c r="B1112" s="90" t="s">
        <v>4511</v>
      </c>
      <c r="C1112" s="90" t="s">
        <v>13</v>
      </c>
      <c r="D1112" s="90" t="str">
        <f>VLOOKUP(Tabela1[[#This Row],[Origem]],'Perguntas 1 a 24'!$J$28:$K$34,2,FALSE)</f>
        <v>Sudeste</v>
      </c>
      <c r="E1112" s="90" t="s">
        <v>12451</v>
      </c>
      <c r="F1112" s="91">
        <v>46131</v>
      </c>
      <c r="G1112" s="92">
        <v>44356</v>
      </c>
      <c r="H1112" s="90" t="s">
        <v>9</v>
      </c>
      <c r="I11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12" s="90" t="s">
        <v>4511</v>
      </c>
    </row>
    <row r="1113" spans="1:11">
      <c r="A1113" s="90" t="s">
        <v>5872</v>
      </c>
      <c r="B1113" s="90" t="s">
        <v>5873</v>
      </c>
      <c r="C1113" s="90" t="s">
        <v>10</v>
      </c>
      <c r="D1113" s="90" t="str">
        <f>VLOOKUP(Tabela1[[#This Row],[Origem]],'Perguntas 1 a 24'!$J$28:$K$34,2,FALSE)</f>
        <v>Centro-Oeste</v>
      </c>
      <c r="E1113" s="90" t="s">
        <v>12452</v>
      </c>
      <c r="F1113" s="91">
        <v>46131</v>
      </c>
      <c r="G1113" s="92">
        <v>103371</v>
      </c>
      <c r="H1113" s="90" t="s">
        <v>7</v>
      </c>
      <c r="I11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13" s="90" t="s">
        <v>5873</v>
      </c>
    </row>
    <row r="1114" spans="1:11">
      <c r="A1114" s="90" t="s">
        <v>6750</v>
      </c>
      <c r="B1114" s="90" t="s">
        <v>6751</v>
      </c>
      <c r="C1114" s="90" t="s">
        <v>16</v>
      </c>
      <c r="D1114" s="90" t="str">
        <f>VLOOKUP(Tabela1[[#This Row],[Origem]],'Perguntas 1 a 24'!$J$28:$K$34,2,FALSE)</f>
        <v>Sudeste</v>
      </c>
      <c r="E1114" s="90" t="s">
        <v>12453</v>
      </c>
      <c r="F1114" s="91">
        <v>46131</v>
      </c>
      <c r="G1114" s="92">
        <v>97538</v>
      </c>
      <c r="H1114" s="90" t="s">
        <v>7</v>
      </c>
      <c r="I11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14" s="90" t="s">
        <v>6751</v>
      </c>
    </row>
    <row r="1115" spans="1:11">
      <c r="A1115" s="90" t="s">
        <v>7854</v>
      </c>
      <c r="B1115" s="90" t="s">
        <v>7855</v>
      </c>
      <c r="C1115" s="90" t="s">
        <v>12</v>
      </c>
      <c r="D1115" s="90" t="str">
        <f>VLOOKUP(Tabela1[[#This Row],[Origem]],'Perguntas 1 a 24'!$J$28:$K$34,2,FALSE)</f>
        <v>Sudeste</v>
      </c>
      <c r="E1115" s="90" t="s">
        <v>12454</v>
      </c>
      <c r="F1115" s="91">
        <v>46131</v>
      </c>
      <c r="G1115" s="92">
        <v>43341</v>
      </c>
      <c r="H1115" s="90" t="s">
        <v>9</v>
      </c>
      <c r="I11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15" s="90" t="s">
        <v>7855</v>
      </c>
    </row>
    <row r="1116" spans="1:11">
      <c r="A1116" s="90" t="s">
        <v>9359</v>
      </c>
      <c r="B1116" s="90" t="s">
        <v>9360</v>
      </c>
      <c r="C1116" s="90" t="s">
        <v>8</v>
      </c>
      <c r="D1116" s="90" t="str">
        <f>VLOOKUP(Tabela1[[#This Row],[Origem]],'Perguntas 1 a 24'!$J$28:$K$34,2,FALSE)</f>
        <v>Nordeste</v>
      </c>
      <c r="E1116" s="90" t="s">
        <v>12455</v>
      </c>
      <c r="F1116" s="91">
        <v>46131</v>
      </c>
      <c r="G1116" s="92">
        <v>116947</v>
      </c>
      <c r="H1116" s="90" t="s">
        <v>14</v>
      </c>
      <c r="I11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16" s="90" t="s">
        <v>9360</v>
      </c>
    </row>
    <row r="1117" spans="1:11">
      <c r="A1117" s="90" t="s">
        <v>5386</v>
      </c>
      <c r="B1117" s="90" t="s">
        <v>5387</v>
      </c>
      <c r="C1117" s="90" t="s">
        <v>6</v>
      </c>
      <c r="D1117" s="90" t="str">
        <f>VLOOKUP(Tabela1[[#This Row],[Origem]],'Perguntas 1 a 24'!$J$28:$K$34,2,FALSE)</f>
        <v>Nordeste</v>
      </c>
      <c r="E1117" s="90" t="s">
        <v>12456</v>
      </c>
      <c r="F1117" s="91">
        <v>46132</v>
      </c>
      <c r="G1117" s="92">
        <v>78736</v>
      </c>
      <c r="H1117" s="90" t="s">
        <v>9</v>
      </c>
      <c r="I11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17" s="90" t="s">
        <v>5387</v>
      </c>
    </row>
    <row r="1118" spans="1:11">
      <c r="A1118" s="90" t="s">
        <v>7060</v>
      </c>
      <c r="B1118" s="90" t="s">
        <v>7061</v>
      </c>
      <c r="C1118" s="90" t="s">
        <v>13</v>
      </c>
      <c r="D1118" s="90" t="str">
        <f>VLOOKUP(Tabela1[[#This Row],[Origem]],'Perguntas 1 a 24'!$J$28:$K$34,2,FALSE)</f>
        <v>Sudeste</v>
      </c>
      <c r="E1118" s="90" t="s">
        <v>12457</v>
      </c>
      <c r="F1118" s="91">
        <v>46132</v>
      </c>
      <c r="G1118" s="92">
        <v>82237</v>
      </c>
      <c r="H1118" s="90" t="s">
        <v>9</v>
      </c>
      <c r="I11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18" s="90" t="s">
        <v>7061</v>
      </c>
    </row>
    <row r="1119" spans="1:11">
      <c r="A1119" s="90" t="s">
        <v>9635</v>
      </c>
      <c r="B1119" s="90" t="s">
        <v>9636</v>
      </c>
      <c r="C1119" s="90" t="s">
        <v>16</v>
      </c>
      <c r="D1119" s="90" t="str">
        <f>VLOOKUP(Tabela1[[#This Row],[Origem]],'Perguntas 1 a 24'!$J$28:$K$34,2,FALSE)</f>
        <v>Sudeste</v>
      </c>
      <c r="E1119" s="90" t="s">
        <v>12458</v>
      </c>
      <c r="F1119" s="91">
        <v>46132</v>
      </c>
      <c r="G1119" s="92">
        <v>86915</v>
      </c>
      <c r="H1119" s="90" t="s">
        <v>9</v>
      </c>
      <c r="I11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19" s="90" t="s">
        <v>9636</v>
      </c>
    </row>
    <row r="1120" spans="1:11">
      <c r="A1120" s="90" t="s">
        <v>8785</v>
      </c>
      <c r="B1120" s="90" t="s">
        <v>8786</v>
      </c>
      <c r="C1120" s="90" t="s">
        <v>6</v>
      </c>
      <c r="D1120" s="90" t="str">
        <f>VLOOKUP(Tabela1[[#This Row],[Origem]],'Perguntas 1 a 24'!$J$28:$K$34,2,FALSE)</f>
        <v>Nordeste</v>
      </c>
      <c r="E1120" s="90" t="s">
        <v>12459</v>
      </c>
      <c r="F1120" s="91">
        <v>46134</v>
      </c>
      <c r="G1120" s="92">
        <v>26579</v>
      </c>
      <c r="H1120" s="90" t="s">
        <v>11</v>
      </c>
      <c r="I11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20" s="90" t="s">
        <v>8786</v>
      </c>
    </row>
    <row r="1121" spans="1:11">
      <c r="A1121" s="90" t="s">
        <v>9555</v>
      </c>
      <c r="B1121" s="90" t="s">
        <v>9556</v>
      </c>
      <c r="C1121" s="90" t="s">
        <v>13</v>
      </c>
      <c r="D1121" s="90" t="str">
        <f>VLOOKUP(Tabela1[[#This Row],[Origem]],'Perguntas 1 a 24'!$J$28:$K$34,2,FALSE)</f>
        <v>Sudeste</v>
      </c>
      <c r="E1121" s="90" t="s">
        <v>12460</v>
      </c>
      <c r="F1121" s="91">
        <v>46134</v>
      </c>
      <c r="G1121" s="92">
        <v>32123</v>
      </c>
      <c r="H1121" s="90" t="s">
        <v>9</v>
      </c>
      <c r="I11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21" s="90" t="s">
        <v>9556</v>
      </c>
    </row>
    <row r="1122" spans="1:11">
      <c r="A1122" s="90" t="s">
        <v>6398</v>
      </c>
      <c r="B1122" s="90" t="s">
        <v>6399</v>
      </c>
      <c r="C1122" s="90" t="s">
        <v>8</v>
      </c>
      <c r="D1122" s="90" t="str">
        <f>VLOOKUP(Tabela1[[#This Row],[Origem]],'Perguntas 1 a 24'!$J$28:$K$34,2,FALSE)</f>
        <v>Nordeste</v>
      </c>
      <c r="E1122" s="90" t="s">
        <v>12461</v>
      </c>
      <c r="F1122" s="91">
        <v>46135</v>
      </c>
      <c r="G1122" s="92">
        <v>73177</v>
      </c>
      <c r="H1122" s="90" t="s">
        <v>9</v>
      </c>
      <c r="I11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22" s="90" t="s">
        <v>6399</v>
      </c>
    </row>
    <row r="1123" spans="1:11">
      <c r="A1123" s="90" t="s">
        <v>8965</v>
      </c>
      <c r="B1123" s="90" t="s">
        <v>8966</v>
      </c>
      <c r="C1123" s="90" t="s">
        <v>6</v>
      </c>
      <c r="D1123" s="90" t="str">
        <f>VLOOKUP(Tabela1[[#This Row],[Origem]],'Perguntas 1 a 24'!$J$28:$K$34,2,FALSE)</f>
        <v>Nordeste</v>
      </c>
      <c r="E1123" s="90" t="s">
        <v>12462</v>
      </c>
      <c r="F1123" s="91">
        <v>46135</v>
      </c>
      <c r="G1123" s="92">
        <v>20711</v>
      </c>
      <c r="H1123" s="90" t="s">
        <v>7</v>
      </c>
      <c r="I11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23" s="90" t="s">
        <v>8966</v>
      </c>
    </row>
    <row r="1124" spans="1:11">
      <c r="A1124" s="90" t="s">
        <v>6120</v>
      </c>
      <c r="B1124" s="90" t="s">
        <v>6121</v>
      </c>
      <c r="C1124" s="90" t="s">
        <v>12</v>
      </c>
      <c r="D1124" s="90" t="str">
        <f>VLOOKUP(Tabela1[[#This Row],[Origem]],'Perguntas 1 a 24'!$J$28:$K$34,2,FALSE)</f>
        <v>Sudeste</v>
      </c>
      <c r="E1124" s="90" t="s">
        <v>12463</v>
      </c>
      <c r="F1124" s="91">
        <v>46137</v>
      </c>
      <c r="G1124" s="92">
        <v>24343</v>
      </c>
      <c r="H1124" s="90" t="s">
        <v>11</v>
      </c>
      <c r="I11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24" s="90" t="s">
        <v>6121</v>
      </c>
    </row>
    <row r="1125" spans="1:11">
      <c r="A1125" s="90" t="s">
        <v>4606</v>
      </c>
      <c r="B1125" s="90" t="s">
        <v>4607</v>
      </c>
      <c r="C1125" s="90" t="s">
        <v>8</v>
      </c>
      <c r="D1125" s="90" t="str">
        <f>VLOOKUP(Tabela1[[#This Row],[Origem]],'Perguntas 1 a 24'!$J$28:$K$34,2,FALSE)</f>
        <v>Nordeste</v>
      </c>
      <c r="E1125" s="90" t="s">
        <v>12464</v>
      </c>
      <c r="F1125" s="91">
        <v>46139</v>
      </c>
      <c r="G1125" s="92">
        <v>83671</v>
      </c>
      <c r="H1125" s="90" t="s">
        <v>11</v>
      </c>
      <c r="I11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25" s="90" t="s">
        <v>4607</v>
      </c>
    </row>
    <row r="1126" spans="1:11">
      <c r="A1126" s="90" t="s">
        <v>11010</v>
      </c>
      <c r="B1126" s="90" t="s">
        <v>11011</v>
      </c>
      <c r="C1126" s="90" t="s">
        <v>12</v>
      </c>
      <c r="D1126" s="90" t="str">
        <f>VLOOKUP(Tabela1[[#This Row],[Origem]],'Perguntas 1 a 24'!$J$28:$K$34,2,FALSE)</f>
        <v>Sudeste</v>
      </c>
      <c r="E1126" s="90" t="s">
        <v>12465</v>
      </c>
      <c r="F1126" s="91">
        <v>46139</v>
      </c>
      <c r="G1126" s="92">
        <v>116239</v>
      </c>
      <c r="H1126" s="90" t="s">
        <v>14</v>
      </c>
      <c r="I11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26" s="90" t="s">
        <v>11011</v>
      </c>
    </row>
    <row r="1127" spans="1:11">
      <c r="A1127" s="90" t="s">
        <v>8512</v>
      </c>
      <c r="B1127" s="90" t="s">
        <v>8513</v>
      </c>
      <c r="C1127" s="90" t="s">
        <v>16</v>
      </c>
      <c r="D1127" s="90" t="str">
        <f>VLOOKUP(Tabela1[[#This Row],[Origem]],'Perguntas 1 a 24'!$J$28:$K$34,2,FALSE)</f>
        <v>Sudeste</v>
      </c>
      <c r="E1127" s="90" t="s">
        <v>12466</v>
      </c>
      <c r="F1127" s="91">
        <v>46140</v>
      </c>
      <c r="G1127" s="92">
        <v>105361</v>
      </c>
      <c r="H1127" s="90" t="s">
        <v>7</v>
      </c>
      <c r="I11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27" s="90" t="s">
        <v>8513</v>
      </c>
    </row>
    <row r="1128" spans="1:11">
      <c r="A1128" s="90" t="s">
        <v>9053</v>
      </c>
      <c r="B1128" s="90" t="s">
        <v>9054</v>
      </c>
      <c r="C1128" s="90" t="s">
        <v>6</v>
      </c>
      <c r="D1128" s="90" t="str">
        <f>VLOOKUP(Tabela1[[#This Row],[Origem]],'Perguntas 1 a 24'!$J$28:$K$34,2,FALSE)</f>
        <v>Nordeste</v>
      </c>
      <c r="E1128" s="90" t="s">
        <v>12467</v>
      </c>
      <c r="F1128" s="91">
        <v>46140</v>
      </c>
      <c r="G1128" s="92">
        <v>26193</v>
      </c>
      <c r="H1128" s="90" t="s">
        <v>11</v>
      </c>
      <c r="I11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28" s="90" t="s">
        <v>9054</v>
      </c>
    </row>
    <row r="1129" spans="1:11">
      <c r="A1129" s="90" t="s">
        <v>4860</v>
      </c>
      <c r="B1129" s="90" t="s">
        <v>4861</v>
      </c>
      <c r="C1129" s="90" t="s">
        <v>13</v>
      </c>
      <c r="D1129" s="90" t="str">
        <f>VLOOKUP(Tabela1[[#This Row],[Origem]],'Perguntas 1 a 24'!$J$28:$K$34,2,FALSE)</f>
        <v>Sudeste</v>
      </c>
      <c r="E1129" s="90" t="s">
        <v>12468</v>
      </c>
      <c r="F1129" s="91">
        <v>46142</v>
      </c>
      <c r="G1129" s="92">
        <v>35877</v>
      </c>
      <c r="H1129" s="90" t="s">
        <v>7</v>
      </c>
      <c r="I11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29" s="90" t="s">
        <v>4861</v>
      </c>
    </row>
    <row r="1130" spans="1:11">
      <c r="A1130" s="90" t="s">
        <v>5438</v>
      </c>
      <c r="B1130" s="90" t="s">
        <v>5439</v>
      </c>
      <c r="C1130" s="90" t="s">
        <v>15</v>
      </c>
      <c r="D1130" s="90" t="str">
        <f>VLOOKUP(Tabela1[[#This Row],[Origem]],'Perguntas 1 a 24'!$J$28:$K$34,2,FALSE)</f>
        <v>Sudeste</v>
      </c>
      <c r="E1130" s="90" t="s">
        <v>12469</v>
      </c>
      <c r="F1130" s="91">
        <v>46142</v>
      </c>
      <c r="G1130" s="92">
        <v>61537</v>
      </c>
      <c r="H1130" s="90" t="s">
        <v>14</v>
      </c>
      <c r="I11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30" s="90" t="s">
        <v>5439</v>
      </c>
    </row>
    <row r="1131" spans="1:11">
      <c r="A1131" s="90" t="s">
        <v>10847</v>
      </c>
      <c r="B1131" s="90" t="s">
        <v>10848</v>
      </c>
      <c r="C1131" s="90" t="s">
        <v>13</v>
      </c>
      <c r="D1131" s="90" t="str">
        <f>VLOOKUP(Tabela1[[#This Row],[Origem]],'Perguntas 1 a 24'!$J$28:$K$34,2,FALSE)</f>
        <v>Sudeste</v>
      </c>
      <c r="E1131" s="90" t="s">
        <v>12470</v>
      </c>
      <c r="F1131" s="91">
        <v>46142</v>
      </c>
      <c r="G1131" s="92">
        <v>70751</v>
      </c>
      <c r="H1131" s="90" t="s">
        <v>9</v>
      </c>
      <c r="I11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31" s="90" t="s">
        <v>10848</v>
      </c>
    </row>
    <row r="1132" spans="1:11">
      <c r="A1132" s="90" t="s">
        <v>5258</v>
      </c>
      <c r="B1132" s="90" t="s">
        <v>5259</v>
      </c>
      <c r="C1132" s="90" t="s">
        <v>10</v>
      </c>
      <c r="D1132" s="90" t="str">
        <f>VLOOKUP(Tabela1[[#This Row],[Origem]],'Perguntas 1 a 24'!$J$28:$K$34,2,FALSE)</f>
        <v>Centro-Oeste</v>
      </c>
      <c r="E1132" s="90" t="s">
        <v>12471</v>
      </c>
      <c r="F1132" s="91">
        <v>46143</v>
      </c>
      <c r="G1132" s="92">
        <v>25242</v>
      </c>
      <c r="H1132" s="90" t="s">
        <v>11</v>
      </c>
      <c r="I11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32" s="90" t="s">
        <v>5259</v>
      </c>
    </row>
    <row r="1133" spans="1:11">
      <c r="A1133" s="90" t="s">
        <v>8853</v>
      </c>
      <c r="B1133" s="90" t="s">
        <v>8854</v>
      </c>
      <c r="C1133" s="90" t="s">
        <v>10</v>
      </c>
      <c r="D1133" s="90" t="str">
        <f>VLOOKUP(Tabela1[[#This Row],[Origem]],'Perguntas 1 a 24'!$J$28:$K$34,2,FALSE)</f>
        <v>Centro-Oeste</v>
      </c>
      <c r="E1133" s="90" t="s">
        <v>12472</v>
      </c>
      <c r="F1133" s="91">
        <v>46143</v>
      </c>
      <c r="G1133" s="92">
        <v>80017</v>
      </c>
      <c r="H1133" s="90" t="s">
        <v>9</v>
      </c>
      <c r="I11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33" s="90" t="s">
        <v>8854</v>
      </c>
    </row>
    <row r="1134" spans="1:11">
      <c r="A1134" s="90" t="s">
        <v>7638</v>
      </c>
      <c r="B1134" s="90" t="s">
        <v>7639</v>
      </c>
      <c r="C1134" s="90" t="s">
        <v>6</v>
      </c>
      <c r="D1134" s="90" t="str">
        <f>VLOOKUP(Tabela1[[#This Row],[Origem]],'Perguntas 1 a 24'!$J$28:$K$34,2,FALSE)</f>
        <v>Nordeste</v>
      </c>
      <c r="E1134" s="90" t="s">
        <v>12473</v>
      </c>
      <c r="F1134" s="91">
        <v>46144</v>
      </c>
      <c r="G1134" s="92">
        <v>114145</v>
      </c>
      <c r="H1134" s="90" t="s">
        <v>11</v>
      </c>
      <c r="I11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34" s="90" t="s">
        <v>7639</v>
      </c>
    </row>
    <row r="1135" spans="1:11">
      <c r="A1135" s="90" t="s">
        <v>4712</v>
      </c>
      <c r="B1135" s="90" t="s">
        <v>4713</v>
      </c>
      <c r="C1135" s="90" t="s">
        <v>12</v>
      </c>
      <c r="D1135" s="90" t="str">
        <f>VLOOKUP(Tabela1[[#This Row],[Origem]],'Perguntas 1 a 24'!$J$28:$K$34,2,FALSE)</f>
        <v>Sudeste</v>
      </c>
      <c r="E1135" s="90" t="s">
        <v>12474</v>
      </c>
      <c r="F1135" s="91">
        <v>46145</v>
      </c>
      <c r="G1135" s="92">
        <v>100992</v>
      </c>
      <c r="H1135" s="90" t="s">
        <v>7</v>
      </c>
      <c r="I11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35" s="90" t="s">
        <v>4713</v>
      </c>
    </row>
    <row r="1136" spans="1:11">
      <c r="A1136" s="90" t="s">
        <v>8376</v>
      </c>
      <c r="B1136" s="90" t="s">
        <v>8377</v>
      </c>
      <c r="C1136" s="90" t="s">
        <v>8</v>
      </c>
      <c r="D1136" s="90" t="str">
        <f>VLOOKUP(Tabela1[[#This Row],[Origem]],'Perguntas 1 a 24'!$J$28:$K$34,2,FALSE)</f>
        <v>Nordeste</v>
      </c>
      <c r="E1136" s="90" t="s">
        <v>12475</v>
      </c>
      <c r="F1136" s="91">
        <v>46145</v>
      </c>
      <c r="G1136" s="92">
        <v>29263</v>
      </c>
      <c r="H1136" s="90" t="s">
        <v>11</v>
      </c>
      <c r="I11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36" s="90" t="s">
        <v>8377</v>
      </c>
    </row>
    <row r="1137" spans="1:11">
      <c r="A1137" s="90" t="s">
        <v>4964</v>
      </c>
      <c r="B1137" s="90" t="s">
        <v>4965</v>
      </c>
      <c r="C1137" s="90" t="s">
        <v>6</v>
      </c>
      <c r="D1137" s="90" t="str">
        <f>VLOOKUP(Tabela1[[#This Row],[Origem]],'Perguntas 1 a 24'!$J$28:$K$34,2,FALSE)</f>
        <v>Nordeste</v>
      </c>
      <c r="E1137" s="90" t="s">
        <v>12476</v>
      </c>
      <c r="F1137" s="91">
        <v>46146</v>
      </c>
      <c r="G1137" s="92">
        <v>60631</v>
      </c>
      <c r="H1137" s="90" t="s">
        <v>9</v>
      </c>
      <c r="I11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37" s="90" t="s">
        <v>4965</v>
      </c>
    </row>
    <row r="1138" spans="1:11">
      <c r="A1138" s="90" t="s">
        <v>5916</v>
      </c>
      <c r="B1138" s="90" t="s">
        <v>5917</v>
      </c>
      <c r="C1138" s="90" t="s">
        <v>8</v>
      </c>
      <c r="D1138" s="90" t="str">
        <f>VLOOKUP(Tabela1[[#This Row],[Origem]],'Perguntas 1 a 24'!$J$28:$K$34,2,FALSE)</f>
        <v>Nordeste</v>
      </c>
      <c r="E1138" s="90" t="s">
        <v>12477</v>
      </c>
      <c r="F1138" s="91">
        <v>46146</v>
      </c>
      <c r="G1138" s="92">
        <v>107732</v>
      </c>
      <c r="H1138" s="90" t="s">
        <v>9</v>
      </c>
      <c r="I11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38" s="90" t="s">
        <v>5917</v>
      </c>
    </row>
    <row r="1139" spans="1:11">
      <c r="A1139" s="90" t="s">
        <v>6024</v>
      </c>
      <c r="B1139" s="90" t="s">
        <v>6025</v>
      </c>
      <c r="C1139" s="90" t="s">
        <v>6</v>
      </c>
      <c r="D1139" s="90" t="str">
        <f>VLOOKUP(Tabela1[[#This Row],[Origem]],'Perguntas 1 a 24'!$J$28:$K$34,2,FALSE)</f>
        <v>Nordeste</v>
      </c>
      <c r="E1139" s="90" t="s">
        <v>12478</v>
      </c>
      <c r="F1139" s="91">
        <v>46146</v>
      </c>
      <c r="G1139" s="92">
        <v>36538</v>
      </c>
      <c r="H1139" s="90" t="s">
        <v>14</v>
      </c>
      <c r="I11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39" s="90" t="s">
        <v>6025</v>
      </c>
    </row>
    <row r="1140" spans="1:11">
      <c r="A1140" s="90" t="s">
        <v>6370</v>
      </c>
      <c r="B1140" s="90" t="s">
        <v>6371</v>
      </c>
      <c r="C1140" s="90" t="s">
        <v>13</v>
      </c>
      <c r="D1140" s="90" t="str">
        <f>VLOOKUP(Tabela1[[#This Row],[Origem]],'Perguntas 1 a 24'!$J$28:$K$34,2,FALSE)</f>
        <v>Sudeste</v>
      </c>
      <c r="E1140" s="90" t="s">
        <v>12479</v>
      </c>
      <c r="F1140" s="91">
        <v>46147</v>
      </c>
      <c r="G1140" s="92">
        <v>85389</v>
      </c>
      <c r="H1140" s="90" t="s">
        <v>9</v>
      </c>
      <c r="I11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0" s="90" t="s">
        <v>6371</v>
      </c>
    </row>
    <row r="1141" spans="1:11">
      <c r="A1141" s="90" t="s">
        <v>6570</v>
      </c>
      <c r="B1141" s="90" t="s">
        <v>6571</v>
      </c>
      <c r="C1141" s="90" t="s">
        <v>6</v>
      </c>
      <c r="D1141" s="90" t="str">
        <f>VLOOKUP(Tabela1[[#This Row],[Origem]],'Perguntas 1 a 24'!$J$28:$K$34,2,FALSE)</f>
        <v>Nordeste</v>
      </c>
      <c r="E1141" s="90" t="s">
        <v>12480</v>
      </c>
      <c r="F1141" s="91">
        <v>46147</v>
      </c>
      <c r="G1141" s="92">
        <v>56533</v>
      </c>
      <c r="H1141" s="90" t="s">
        <v>9</v>
      </c>
      <c r="I11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1" s="90" t="s">
        <v>6571</v>
      </c>
    </row>
    <row r="1142" spans="1:11">
      <c r="A1142" s="90" t="s">
        <v>7264</v>
      </c>
      <c r="B1142" s="90" t="s">
        <v>7265</v>
      </c>
      <c r="C1142" s="90" t="s">
        <v>8</v>
      </c>
      <c r="D1142" s="90" t="str">
        <f>VLOOKUP(Tabela1[[#This Row],[Origem]],'Perguntas 1 a 24'!$J$28:$K$34,2,FALSE)</f>
        <v>Nordeste</v>
      </c>
      <c r="E1142" s="90" t="s">
        <v>12481</v>
      </c>
      <c r="F1142" s="91">
        <v>46147</v>
      </c>
      <c r="G1142" s="92">
        <v>75853</v>
      </c>
      <c r="H1142" s="90" t="s">
        <v>7</v>
      </c>
      <c r="I11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2" s="90" t="s">
        <v>7265</v>
      </c>
    </row>
    <row r="1143" spans="1:11">
      <c r="A1143" s="90" t="s">
        <v>9245</v>
      </c>
      <c r="B1143" s="90" t="s">
        <v>9246</v>
      </c>
      <c r="C1143" s="90" t="s">
        <v>12</v>
      </c>
      <c r="D1143" s="90" t="str">
        <f>VLOOKUP(Tabela1[[#This Row],[Origem]],'Perguntas 1 a 24'!$J$28:$K$34,2,FALSE)</f>
        <v>Sudeste</v>
      </c>
      <c r="E1143" s="90" t="s">
        <v>12482</v>
      </c>
      <c r="F1143" s="91">
        <v>46147</v>
      </c>
      <c r="G1143" s="92">
        <v>90884</v>
      </c>
      <c r="H1143" s="90" t="s">
        <v>14</v>
      </c>
      <c r="I11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3" s="90" t="s">
        <v>9246</v>
      </c>
    </row>
    <row r="1144" spans="1:11">
      <c r="A1144" s="90" t="s">
        <v>9619</v>
      </c>
      <c r="B1144" s="90" t="s">
        <v>9620</v>
      </c>
      <c r="C1144" s="90" t="s">
        <v>13</v>
      </c>
      <c r="D1144" s="90" t="str">
        <f>VLOOKUP(Tabela1[[#This Row],[Origem]],'Perguntas 1 a 24'!$J$28:$K$34,2,FALSE)</f>
        <v>Sudeste</v>
      </c>
      <c r="E1144" s="90" t="s">
        <v>12483</v>
      </c>
      <c r="F1144" s="91">
        <v>46147</v>
      </c>
      <c r="G1144" s="92">
        <v>69785</v>
      </c>
      <c r="H1144" s="90" t="s">
        <v>9</v>
      </c>
      <c r="I11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4" s="90" t="s">
        <v>9620</v>
      </c>
    </row>
    <row r="1145" spans="1:11">
      <c r="A1145" s="90" t="s">
        <v>4572</v>
      </c>
      <c r="B1145" s="90" t="s">
        <v>4573</v>
      </c>
      <c r="C1145" s="90" t="s">
        <v>10</v>
      </c>
      <c r="D1145" s="90" t="str">
        <f>VLOOKUP(Tabela1[[#This Row],[Origem]],'Perguntas 1 a 24'!$J$28:$K$34,2,FALSE)</f>
        <v>Centro-Oeste</v>
      </c>
      <c r="E1145" s="90" t="s">
        <v>12484</v>
      </c>
      <c r="F1145" s="91">
        <v>46148</v>
      </c>
      <c r="G1145" s="92">
        <v>41234</v>
      </c>
      <c r="H1145" s="90" t="s">
        <v>9</v>
      </c>
      <c r="I11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45" s="90" t="s">
        <v>4573</v>
      </c>
    </row>
    <row r="1146" spans="1:11">
      <c r="A1146" s="90" t="s">
        <v>10587</v>
      </c>
      <c r="B1146" s="90" t="s">
        <v>10588</v>
      </c>
      <c r="C1146" s="90" t="s">
        <v>13</v>
      </c>
      <c r="D1146" s="90" t="str">
        <f>VLOOKUP(Tabela1[[#This Row],[Origem]],'Perguntas 1 a 24'!$J$28:$K$34,2,FALSE)</f>
        <v>Sudeste</v>
      </c>
      <c r="E1146" s="90" t="s">
        <v>12485</v>
      </c>
      <c r="F1146" s="91">
        <v>46148</v>
      </c>
      <c r="G1146" s="92">
        <v>64862</v>
      </c>
      <c r="H1146" s="90" t="s">
        <v>14</v>
      </c>
      <c r="I11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6" s="90" t="s">
        <v>10588</v>
      </c>
    </row>
    <row r="1147" spans="1:11">
      <c r="A1147" s="90" t="s">
        <v>4189</v>
      </c>
      <c r="B1147" s="90" t="s">
        <v>4190</v>
      </c>
      <c r="C1147" s="90" t="s">
        <v>8</v>
      </c>
      <c r="D1147" s="90" t="str">
        <f>VLOOKUP(Tabela1[[#This Row],[Origem]],'Perguntas 1 a 24'!$J$28:$K$34,2,FALSE)</f>
        <v>Nordeste</v>
      </c>
      <c r="E1147" s="90" t="s">
        <v>12486</v>
      </c>
      <c r="F1147" s="91">
        <v>46149</v>
      </c>
      <c r="G1147" s="92">
        <v>63087</v>
      </c>
      <c r="H1147" s="90" t="s">
        <v>9</v>
      </c>
      <c r="I11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7" s="90" t="s">
        <v>4190</v>
      </c>
    </row>
    <row r="1148" spans="1:11">
      <c r="A1148" s="90" t="s">
        <v>8316</v>
      </c>
      <c r="B1148" s="90" t="s">
        <v>8317</v>
      </c>
      <c r="C1148" s="90" t="s">
        <v>8</v>
      </c>
      <c r="D1148" s="90" t="str">
        <f>VLOOKUP(Tabela1[[#This Row],[Origem]],'Perguntas 1 a 24'!$J$28:$K$34,2,FALSE)</f>
        <v>Nordeste</v>
      </c>
      <c r="E1148" s="90" t="s">
        <v>12487</v>
      </c>
      <c r="F1148" s="91">
        <v>46149</v>
      </c>
      <c r="G1148" s="92">
        <v>115384</v>
      </c>
      <c r="H1148" s="90" t="s">
        <v>7</v>
      </c>
      <c r="I11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8" s="90" t="s">
        <v>8317</v>
      </c>
    </row>
    <row r="1149" spans="1:11">
      <c r="A1149" s="90" t="s">
        <v>8402</v>
      </c>
      <c r="B1149" s="90" t="s">
        <v>8403</v>
      </c>
      <c r="C1149" s="90" t="s">
        <v>10</v>
      </c>
      <c r="D1149" s="90" t="str">
        <f>VLOOKUP(Tabela1[[#This Row],[Origem]],'Perguntas 1 a 24'!$J$28:$K$34,2,FALSE)</f>
        <v>Centro-Oeste</v>
      </c>
      <c r="E1149" s="90" t="s">
        <v>12488</v>
      </c>
      <c r="F1149" s="91">
        <v>46149</v>
      </c>
      <c r="G1149" s="92">
        <v>104326</v>
      </c>
      <c r="H1149" s="90" t="s">
        <v>7</v>
      </c>
      <c r="I11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49" s="90" t="s">
        <v>8403</v>
      </c>
    </row>
    <row r="1150" spans="1:11">
      <c r="A1150" s="90" t="s">
        <v>6712</v>
      </c>
      <c r="B1150" s="90" t="s">
        <v>6713</v>
      </c>
      <c r="C1150" s="90" t="s">
        <v>6</v>
      </c>
      <c r="D1150" s="90" t="str">
        <f>VLOOKUP(Tabela1[[#This Row],[Origem]],'Perguntas 1 a 24'!$J$28:$K$34,2,FALSE)</f>
        <v>Nordeste</v>
      </c>
      <c r="E1150" s="90" t="s">
        <v>12489</v>
      </c>
      <c r="F1150" s="91">
        <v>46150</v>
      </c>
      <c r="G1150" s="92">
        <v>111811</v>
      </c>
      <c r="H1150" s="90" t="s">
        <v>7</v>
      </c>
      <c r="I11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50" s="90" t="s">
        <v>6713</v>
      </c>
    </row>
    <row r="1151" spans="1:11">
      <c r="A1151" s="90" t="s">
        <v>10990</v>
      </c>
      <c r="B1151" s="90" t="s">
        <v>10991</v>
      </c>
      <c r="C1151" s="90" t="s">
        <v>16</v>
      </c>
      <c r="D1151" s="90" t="str">
        <f>VLOOKUP(Tabela1[[#This Row],[Origem]],'Perguntas 1 a 24'!$J$28:$K$34,2,FALSE)</f>
        <v>Sudeste</v>
      </c>
      <c r="E1151" s="90" t="s">
        <v>12490</v>
      </c>
      <c r="F1151" s="91">
        <v>46150</v>
      </c>
      <c r="G1151" s="92">
        <v>90616</v>
      </c>
      <c r="H1151" s="90" t="s">
        <v>9</v>
      </c>
      <c r="I11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51" s="90" t="s">
        <v>10991</v>
      </c>
    </row>
    <row r="1152" spans="1:11">
      <c r="A1152" s="90" t="s">
        <v>5210</v>
      </c>
      <c r="B1152" s="90" t="s">
        <v>5211</v>
      </c>
      <c r="C1152" s="90" t="s">
        <v>10</v>
      </c>
      <c r="D1152" s="90" t="str">
        <f>VLOOKUP(Tabela1[[#This Row],[Origem]],'Perguntas 1 a 24'!$J$28:$K$34,2,FALSE)</f>
        <v>Centro-Oeste</v>
      </c>
      <c r="E1152" s="90" t="s">
        <v>12491</v>
      </c>
      <c r="F1152" s="91">
        <v>46151</v>
      </c>
      <c r="G1152" s="92">
        <v>30958</v>
      </c>
      <c r="H1152" s="90" t="s">
        <v>11</v>
      </c>
      <c r="I11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52" s="90" t="s">
        <v>5211</v>
      </c>
    </row>
    <row r="1153" spans="1:11">
      <c r="A1153" s="90" t="s">
        <v>6704</v>
      </c>
      <c r="B1153" s="90" t="s">
        <v>6705</v>
      </c>
      <c r="C1153" s="90" t="s">
        <v>8</v>
      </c>
      <c r="D1153" s="90" t="str">
        <f>VLOOKUP(Tabela1[[#This Row],[Origem]],'Perguntas 1 a 24'!$J$28:$K$34,2,FALSE)</f>
        <v>Nordeste</v>
      </c>
      <c r="E1153" s="90" t="s">
        <v>12492</v>
      </c>
      <c r="F1153" s="91">
        <v>46151</v>
      </c>
      <c r="G1153" s="92">
        <v>20992</v>
      </c>
      <c r="H1153" s="90" t="s">
        <v>7</v>
      </c>
      <c r="I11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53" s="90" t="s">
        <v>6705</v>
      </c>
    </row>
    <row r="1154" spans="1:11">
      <c r="A1154" s="90" t="s">
        <v>6522</v>
      </c>
      <c r="B1154" s="90" t="s">
        <v>6523</v>
      </c>
      <c r="C1154" s="90" t="s">
        <v>12</v>
      </c>
      <c r="D1154" s="90" t="str">
        <f>VLOOKUP(Tabela1[[#This Row],[Origem]],'Perguntas 1 a 24'!$J$28:$K$34,2,FALSE)</f>
        <v>Sudeste</v>
      </c>
      <c r="E1154" s="90" t="s">
        <v>12493</v>
      </c>
      <c r="F1154" s="91">
        <v>46152</v>
      </c>
      <c r="G1154" s="92">
        <v>53099</v>
      </c>
      <c r="H1154" s="90" t="s">
        <v>14</v>
      </c>
      <c r="I11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54" s="90" t="s">
        <v>6523</v>
      </c>
    </row>
    <row r="1155" spans="1:11">
      <c r="A1155" s="90" t="s">
        <v>8721</v>
      </c>
      <c r="B1155" s="90" t="s">
        <v>8722</v>
      </c>
      <c r="C1155" s="90" t="s">
        <v>6</v>
      </c>
      <c r="D1155" s="90" t="str">
        <f>VLOOKUP(Tabela1[[#This Row],[Origem]],'Perguntas 1 a 24'!$J$28:$K$34,2,FALSE)</f>
        <v>Nordeste</v>
      </c>
      <c r="E1155" s="90" t="s">
        <v>12494</v>
      </c>
      <c r="F1155" s="91">
        <v>46152</v>
      </c>
      <c r="G1155" s="92">
        <v>91258</v>
      </c>
      <c r="H1155" s="90" t="s">
        <v>11</v>
      </c>
      <c r="I11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55" s="90" t="s">
        <v>8722</v>
      </c>
    </row>
    <row r="1156" spans="1:11">
      <c r="A1156" s="90" t="s">
        <v>11283</v>
      </c>
      <c r="B1156" s="90" t="s">
        <v>11284</v>
      </c>
      <c r="C1156" s="90" t="s">
        <v>13</v>
      </c>
      <c r="D1156" s="90" t="str">
        <f>VLOOKUP(Tabela1[[#This Row],[Origem]],'Perguntas 1 a 24'!$J$28:$K$34,2,FALSE)</f>
        <v>Sudeste</v>
      </c>
      <c r="E1156" s="90" t="s">
        <v>12495</v>
      </c>
      <c r="F1156" s="91">
        <v>46152</v>
      </c>
      <c r="G1156" s="92">
        <v>81591</v>
      </c>
      <c r="H1156" s="90" t="s">
        <v>9</v>
      </c>
      <c r="I11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56" s="90" t="s">
        <v>11284</v>
      </c>
    </row>
    <row r="1157" spans="1:11">
      <c r="A1157" s="90" t="s">
        <v>7624</v>
      </c>
      <c r="B1157" s="90" t="s">
        <v>7625</v>
      </c>
      <c r="C1157" s="90" t="s">
        <v>8</v>
      </c>
      <c r="D1157" s="90" t="str">
        <f>VLOOKUP(Tabela1[[#This Row],[Origem]],'Perguntas 1 a 24'!$J$28:$K$34,2,FALSE)</f>
        <v>Nordeste</v>
      </c>
      <c r="E1157" s="90" t="s">
        <v>12496</v>
      </c>
      <c r="F1157" s="91">
        <v>46154</v>
      </c>
      <c r="G1157" s="92">
        <v>25533</v>
      </c>
      <c r="H1157" s="90" t="s">
        <v>9</v>
      </c>
      <c r="I11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57" s="90" t="s">
        <v>7625</v>
      </c>
    </row>
    <row r="1158" spans="1:11">
      <c r="A1158" s="90" t="s">
        <v>7816</v>
      </c>
      <c r="B1158" s="90" t="s">
        <v>7817</v>
      </c>
      <c r="C1158" s="90" t="s">
        <v>13</v>
      </c>
      <c r="D1158" s="90" t="str">
        <f>VLOOKUP(Tabela1[[#This Row],[Origem]],'Perguntas 1 a 24'!$J$28:$K$34,2,FALSE)</f>
        <v>Sudeste</v>
      </c>
      <c r="E1158" s="90" t="s">
        <v>12497</v>
      </c>
      <c r="F1158" s="91">
        <v>46154</v>
      </c>
      <c r="G1158" s="92">
        <v>111327</v>
      </c>
      <c r="H1158" s="90" t="s">
        <v>9</v>
      </c>
      <c r="I11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58" s="90" t="s">
        <v>7817</v>
      </c>
    </row>
    <row r="1159" spans="1:11">
      <c r="A1159" s="90" t="s">
        <v>8715</v>
      </c>
      <c r="B1159" s="90" t="s">
        <v>8716</v>
      </c>
      <c r="C1159" s="90" t="s">
        <v>12</v>
      </c>
      <c r="D1159" s="90" t="str">
        <f>VLOOKUP(Tabela1[[#This Row],[Origem]],'Perguntas 1 a 24'!$J$28:$K$34,2,FALSE)</f>
        <v>Sudeste</v>
      </c>
      <c r="E1159" s="90" t="s">
        <v>12498</v>
      </c>
      <c r="F1159" s="91">
        <v>46154</v>
      </c>
      <c r="G1159" s="92">
        <v>26879</v>
      </c>
      <c r="H1159" s="90" t="s">
        <v>9</v>
      </c>
      <c r="I11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59" s="90" t="s">
        <v>8716</v>
      </c>
    </row>
    <row r="1160" spans="1:11">
      <c r="A1160" s="90" t="s">
        <v>8915</v>
      </c>
      <c r="B1160" s="90" t="s">
        <v>8916</v>
      </c>
      <c r="C1160" s="90" t="s">
        <v>16</v>
      </c>
      <c r="D1160" s="90" t="str">
        <f>VLOOKUP(Tabela1[[#This Row],[Origem]],'Perguntas 1 a 24'!$J$28:$K$34,2,FALSE)</f>
        <v>Sudeste</v>
      </c>
      <c r="E1160" s="90" t="s">
        <v>12499</v>
      </c>
      <c r="F1160" s="91">
        <v>46154</v>
      </c>
      <c r="G1160" s="92">
        <v>85278</v>
      </c>
      <c r="H1160" s="90" t="s">
        <v>7</v>
      </c>
      <c r="I11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0" s="90" t="s">
        <v>8916</v>
      </c>
    </row>
    <row r="1161" spans="1:11">
      <c r="A1161" s="90" t="s">
        <v>6826</v>
      </c>
      <c r="B1161" s="90" t="s">
        <v>6827</v>
      </c>
      <c r="C1161" s="90" t="s">
        <v>12</v>
      </c>
      <c r="D1161" s="90" t="str">
        <f>VLOOKUP(Tabela1[[#This Row],[Origem]],'Perguntas 1 a 24'!$J$28:$K$34,2,FALSE)</f>
        <v>Sudeste</v>
      </c>
      <c r="E1161" s="90" t="s">
        <v>12500</v>
      </c>
      <c r="F1161" s="91">
        <v>46155</v>
      </c>
      <c r="G1161" s="92">
        <v>58115</v>
      </c>
      <c r="H1161" s="90" t="s">
        <v>7</v>
      </c>
      <c r="I11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1" s="90" t="s">
        <v>6827</v>
      </c>
    </row>
    <row r="1162" spans="1:11">
      <c r="A1162" s="90" t="s">
        <v>6918</v>
      </c>
      <c r="B1162" s="90" t="s">
        <v>6919</v>
      </c>
      <c r="C1162" s="90" t="s">
        <v>13</v>
      </c>
      <c r="D1162" s="90" t="str">
        <f>VLOOKUP(Tabela1[[#This Row],[Origem]],'Perguntas 1 a 24'!$J$28:$K$34,2,FALSE)</f>
        <v>Sudeste</v>
      </c>
      <c r="E1162" s="90" t="s">
        <v>12501</v>
      </c>
      <c r="F1162" s="91">
        <v>46156</v>
      </c>
      <c r="G1162" s="92">
        <v>101949</v>
      </c>
      <c r="H1162" s="90" t="s">
        <v>9</v>
      </c>
      <c r="I11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2" s="90" t="s">
        <v>6919</v>
      </c>
    </row>
    <row r="1163" spans="1:11">
      <c r="A1163" s="90" t="s">
        <v>10809</v>
      </c>
      <c r="B1163" s="90" t="s">
        <v>10810</v>
      </c>
      <c r="C1163" s="90" t="s">
        <v>15</v>
      </c>
      <c r="D1163" s="90" t="str">
        <f>VLOOKUP(Tabela1[[#This Row],[Origem]],'Perguntas 1 a 24'!$J$28:$K$34,2,FALSE)</f>
        <v>Sudeste</v>
      </c>
      <c r="E1163" s="90" t="s">
        <v>12502</v>
      </c>
      <c r="F1163" s="91">
        <v>46157</v>
      </c>
      <c r="G1163" s="92">
        <v>70226</v>
      </c>
      <c r="H1163" s="90" t="s">
        <v>11</v>
      </c>
      <c r="I11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3" s="90" t="s">
        <v>10810</v>
      </c>
    </row>
    <row r="1164" spans="1:11">
      <c r="A1164" s="90" t="s">
        <v>9605</v>
      </c>
      <c r="B1164" s="90" t="s">
        <v>9606</v>
      </c>
      <c r="C1164" s="90" t="s">
        <v>10</v>
      </c>
      <c r="D1164" s="90" t="str">
        <f>VLOOKUP(Tabela1[[#This Row],[Origem]],'Perguntas 1 a 24'!$J$28:$K$34,2,FALSE)</f>
        <v>Centro-Oeste</v>
      </c>
      <c r="E1164" s="90" t="s">
        <v>12503</v>
      </c>
      <c r="F1164" s="91">
        <v>46158</v>
      </c>
      <c r="G1164" s="92">
        <v>56026</v>
      </c>
      <c r="H1164" s="90" t="s">
        <v>11</v>
      </c>
      <c r="I11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4" s="90" t="s">
        <v>9606</v>
      </c>
    </row>
    <row r="1165" spans="1:11">
      <c r="A1165" s="90" t="s">
        <v>7114</v>
      </c>
      <c r="B1165" s="90" t="s">
        <v>7115</v>
      </c>
      <c r="C1165" s="90" t="s">
        <v>12</v>
      </c>
      <c r="D1165" s="90" t="str">
        <f>VLOOKUP(Tabela1[[#This Row],[Origem]],'Perguntas 1 a 24'!$J$28:$K$34,2,FALSE)</f>
        <v>Sudeste</v>
      </c>
      <c r="E1165" s="90" t="s">
        <v>12504</v>
      </c>
      <c r="F1165" s="91">
        <v>46159</v>
      </c>
      <c r="G1165" s="92">
        <v>64678</v>
      </c>
      <c r="H1165" s="90" t="s">
        <v>14</v>
      </c>
      <c r="I11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5" s="90" t="s">
        <v>7115</v>
      </c>
    </row>
    <row r="1166" spans="1:11">
      <c r="A1166" s="90" t="s">
        <v>4080</v>
      </c>
      <c r="B1166" s="90" t="s">
        <v>4081</v>
      </c>
      <c r="C1166" s="90" t="s">
        <v>13</v>
      </c>
      <c r="D1166" s="90" t="str">
        <f>VLOOKUP(Tabela1[[#This Row],[Origem]],'Perguntas 1 a 24'!$J$28:$K$34,2,FALSE)</f>
        <v>Sudeste</v>
      </c>
      <c r="E1166" s="90" t="s">
        <v>12505</v>
      </c>
      <c r="F1166" s="91">
        <v>46160</v>
      </c>
      <c r="G1166" s="92">
        <v>90585</v>
      </c>
      <c r="H1166" s="90" t="s">
        <v>7</v>
      </c>
      <c r="I11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6" s="90" t="s">
        <v>4081</v>
      </c>
    </row>
    <row r="1167" spans="1:11">
      <c r="A1167" s="90" t="s">
        <v>5738</v>
      </c>
      <c r="B1167" s="90" t="s">
        <v>5739</v>
      </c>
      <c r="C1167" s="90" t="s">
        <v>13</v>
      </c>
      <c r="D1167" s="90" t="str">
        <f>VLOOKUP(Tabela1[[#This Row],[Origem]],'Perguntas 1 a 24'!$J$28:$K$34,2,FALSE)</f>
        <v>Sudeste</v>
      </c>
      <c r="E1167" s="90" t="s">
        <v>12506</v>
      </c>
      <c r="F1167" s="91">
        <v>46161</v>
      </c>
      <c r="G1167" s="92">
        <v>37145</v>
      </c>
      <c r="H1167" s="90" t="s">
        <v>14</v>
      </c>
      <c r="I11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67" s="90" t="s">
        <v>5739</v>
      </c>
    </row>
    <row r="1168" spans="1:11">
      <c r="A1168" s="90" t="s">
        <v>8879</v>
      </c>
      <c r="B1168" s="90" t="s">
        <v>8880</v>
      </c>
      <c r="C1168" s="90" t="s">
        <v>6</v>
      </c>
      <c r="D1168" s="90" t="str">
        <f>VLOOKUP(Tabela1[[#This Row],[Origem]],'Perguntas 1 a 24'!$J$28:$K$34,2,FALSE)</f>
        <v>Nordeste</v>
      </c>
      <c r="E1168" s="90" t="s">
        <v>12507</v>
      </c>
      <c r="F1168" s="91">
        <v>46161</v>
      </c>
      <c r="G1168" s="92">
        <v>92034</v>
      </c>
      <c r="H1168" s="90" t="s">
        <v>14</v>
      </c>
      <c r="I11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8" s="90" t="s">
        <v>8880</v>
      </c>
    </row>
    <row r="1169" spans="1:11">
      <c r="A1169" s="90" t="s">
        <v>10797</v>
      </c>
      <c r="B1169" s="90" t="s">
        <v>10798</v>
      </c>
      <c r="C1169" s="90" t="s">
        <v>15</v>
      </c>
      <c r="D1169" s="90" t="str">
        <f>VLOOKUP(Tabela1[[#This Row],[Origem]],'Perguntas 1 a 24'!$J$28:$K$34,2,FALSE)</f>
        <v>Sudeste</v>
      </c>
      <c r="E1169" s="90" t="s">
        <v>12508</v>
      </c>
      <c r="F1169" s="91">
        <v>46161</v>
      </c>
      <c r="G1169" s="92">
        <v>102710</v>
      </c>
      <c r="H1169" s="90" t="s">
        <v>14</v>
      </c>
      <c r="I11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69" s="90" t="s">
        <v>10798</v>
      </c>
    </row>
    <row r="1170" spans="1:11">
      <c r="A1170" s="90" t="s">
        <v>5484</v>
      </c>
      <c r="B1170" s="90" t="s">
        <v>5485</v>
      </c>
      <c r="C1170" s="90" t="s">
        <v>10</v>
      </c>
      <c r="D1170" s="90" t="str">
        <f>VLOOKUP(Tabela1[[#This Row],[Origem]],'Perguntas 1 a 24'!$J$28:$K$34,2,FALSE)</f>
        <v>Centro-Oeste</v>
      </c>
      <c r="E1170" s="90" t="s">
        <v>12509</v>
      </c>
      <c r="F1170" s="91">
        <v>46164</v>
      </c>
      <c r="G1170" s="92">
        <v>89132</v>
      </c>
      <c r="H1170" s="90" t="s">
        <v>9</v>
      </c>
      <c r="I11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0" s="90" t="s">
        <v>5485</v>
      </c>
    </row>
    <row r="1171" spans="1:11">
      <c r="A1171" s="90" t="s">
        <v>9009</v>
      </c>
      <c r="B1171" s="90" t="s">
        <v>9010</v>
      </c>
      <c r="C1171" s="90" t="s">
        <v>13</v>
      </c>
      <c r="D1171" s="90" t="str">
        <f>VLOOKUP(Tabela1[[#This Row],[Origem]],'Perguntas 1 a 24'!$J$28:$K$34,2,FALSE)</f>
        <v>Sudeste</v>
      </c>
      <c r="E1171" s="90" t="s">
        <v>12510</v>
      </c>
      <c r="F1171" s="91">
        <v>46164</v>
      </c>
      <c r="G1171" s="92">
        <v>78061</v>
      </c>
      <c r="H1171" s="90" t="s">
        <v>9</v>
      </c>
      <c r="I11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1" s="90" t="s">
        <v>9010</v>
      </c>
    </row>
    <row r="1172" spans="1:11">
      <c r="A1172" s="90" t="s">
        <v>9879</v>
      </c>
      <c r="B1172" s="90" t="s">
        <v>9880</v>
      </c>
      <c r="C1172" s="90" t="s">
        <v>16</v>
      </c>
      <c r="D1172" s="90" t="str">
        <f>VLOOKUP(Tabela1[[#This Row],[Origem]],'Perguntas 1 a 24'!$J$28:$K$34,2,FALSE)</f>
        <v>Sudeste</v>
      </c>
      <c r="E1172" s="90" t="s">
        <v>12511</v>
      </c>
      <c r="F1172" s="91">
        <v>46164</v>
      </c>
      <c r="G1172" s="92">
        <v>110530</v>
      </c>
      <c r="H1172" s="90" t="s">
        <v>7</v>
      </c>
      <c r="I11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2" s="90" t="s">
        <v>9880</v>
      </c>
    </row>
    <row r="1173" spans="1:11">
      <c r="A1173" s="90" t="s">
        <v>7126</v>
      </c>
      <c r="B1173" s="90" t="s">
        <v>7127</v>
      </c>
      <c r="C1173" s="90" t="s">
        <v>13</v>
      </c>
      <c r="D1173" s="90" t="str">
        <f>VLOOKUP(Tabela1[[#This Row],[Origem]],'Perguntas 1 a 24'!$J$28:$K$34,2,FALSE)</f>
        <v>Sudeste</v>
      </c>
      <c r="E1173" s="90" t="s">
        <v>12512</v>
      </c>
      <c r="F1173" s="91">
        <v>46165</v>
      </c>
      <c r="G1173" s="92">
        <v>37353</v>
      </c>
      <c r="H1173" s="90" t="s">
        <v>7</v>
      </c>
      <c r="I11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73" s="90" t="s">
        <v>7127</v>
      </c>
    </row>
    <row r="1174" spans="1:11">
      <c r="A1174" s="90" t="s">
        <v>8945</v>
      </c>
      <c r="B1174" s="90" t="s">
        <v>8946</v>
      </c>
      <c r="C1174" s="90" t="s">
        <v>15</v>
      </c>
      <c r="D1174" s="90" t="str">
        <f>VLOOKUP(Tabela1[[#This Row],[Origem]],'Perguntas 1 a 24'!$J$28:$K$34,2,FALSE)</f>
        <v>Sudeste</v>
      </c>
      <c r="E1174" s="90" t="s">
        <v>12513</v>
      </c>
      <c r="F1174" s="91">
        <v>46165</v>
      </c>
      <c r="G1174" s="92">
        <v>67123</v>
      </c>
      <c r="H1174" s="90" t="s">
        <v>9</v>
      </c>
      <c r="I11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4" s="90" t="s">
        <v>8946</v>
      </c>
    </row>
    <row r="1175" spans="1:11">
      <c r="A1175" s="90" t="s">
        <v>10943</v>
      </c>
      <c r="B1175" s="90" t="s">
        <v>10944</v>
      </c>
      <c r="C1175" s="90" t="s">
        <v>16</v>
      </c>
      <c r="D1175" s="90" t="str">
        <f>VLOOKUP(Tabela1[[#This Row],[Origem]],'Perguntas 1 a 24'!$J$28:$K$34,2,FALSE)</f>
        <v>Sudeste</v>
      </c>
      <c r="E1175" s="90" t="s">
        <v>12514</v>
      </c>
      <c r="F1175" s="91">
        <v>46165</v>
      </c>
      <c r="G1175" s="92">
        <v>70355</v>
      </c>
      <c r="H1175" s="90" t="s">
        <v>14</v>
      </c>
      <c r="I11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5" s="90" t="s">
        <v>10944</v>
      </c>
    </row>
    <row r="1176" spans="1:11">
      <c r="A1176" s="90" t="s">
        <v>11271</v>
      </c>
      <c r="B1176" s="90" t="s">
        <v>11272</v>
      </c>
      <c r="C1176" s="90" t="s">
        <v>10</v>
      </c>
      <c r="D1176" s="90" t="str">
        <f>VLOOKUP(Tabela1[[#This Row],[Origem]],'Perguntas 1 a 24'!$J$28:$K$34,2,FALSE)</f>
        <v>Centro-Oeste</v>
      </c>
      <c r="E1176" s="90" t="s">
        <v>12515</v>
      </c>
      <c r="F1176" s="91">
        <v>46165</v>
      </c>
      <c r="G1176" s="92">
        <v>78997</v>
      </c>
      <c r="H1176" s="90" t="s">
        <v>7</v>
      </c>
      <c r="I11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6" s="90" t="s">
        <v>11272</v>
      </c>
    </row>
    <row r="1177" spans="1:11">
      <c r="A1177" s="90" t="s">
        <v>5980</v>
      </c>
      <c r="B1177" s="90" t="s">
        <v>5981</v>
      </c>
      <c r="C1177" s="90" t="s">
        <v>16</v>
      </c>
      <c r="D1177" s="90" t="str">
        <f>VLOOKUP(Tabela1[[#This Row],[Origem]],'Perguntas 1 a 24'!$J$28:$K$34,2,FALSE)</f>
        <v>Sudeste</v>
      </c>
      <c r="E1177" s="90" t="s">
        <v>12516</v>
      </c>
      <c r="F1177" s="91">
        <v>46168</v>
      </c>
      <c r="G1177" s="92">
        <v>64396</v>
      </c>
      <c r="H1177" s="90" t="s">
        <v>9</v>
      </c>
      <c r="I11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7" s="90" t="s">
        <v>5981</v>
      </c>
    </row>
    <row r="1178" spans="1:11">
      <c r="A1178" s="90" t="s">
        <v>6154</v>
      </c>
      <c r="B1178" s="90" t="s">
        <v>6155</v>
      </c>
      <c r="C1178" s="90" t="s">
        <v>12</v>
      </c>
      <c r="D1178" s="90" t="str">
        <f>VLOOKUP(Tabela1[[#This Row],[Origem]],'Perguntas 1 a 24'!$J$28:$K$34,2,FALSE)</f>
        <v>Sudeste</v>
      </c>
      <c r="E1178" s="90" t="s">
        <v>12517</v>
      </c>
      <c r="F1178" s="91">
        <v>46168</v>
      </c>
      <c r="G1178" s="92">
        <v>111968</v>
      </c>
      <c r="H1178" s="90" t="s">
        <v>11</v>
      </c>
      <c r="I11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8" s="90" t="s">
        <v>6155</v>
      </c>
    </row>
    <row r="1179" spans="1:11">
      <c r="A1179" s="90" t="s">
        <v>4518</v>
      </c>
      <c r="B1179" s="90" t="s">
        <v>4519</v>
      </c>
      <c r="C1179" s="90" t="s">
        <v>15</v>
      </c>
      <c r="D1179" s="90" t="str">
        <f>VLOOKUP(Tabela1[[#This Row],[Origem]],'Perguntas 1 a 24'!$J$28:$K$34,2,FALSE)</f>
        <v>Sudeste</v>
      </c>
      <c r="E1179" s="90" t="s">
        <v>12518</v>
      </c>
      <c r="F1179" s="91">
        <v>46169</v>
      </c>
      <c r="G1179" s="92">
        <v>104467</v>
      </c>
      <c r="H1179" s="90" t="s">
        <v>7</v>
      </c>
      <c r="I11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79" s="90" t="s">
        <v>4519</v>
      </c>
    </row>
    <row r="1180" spans="1:11">
      <c r="A1180" s="90" t="s">
        <v>4534</v>
      </c>
      <c r="B1180" s="90" t="s">
        <v>4535</v>
      </c>
      <c r="C1180" s="90" t="s">
        <v>16</v>
      </c>
      <c r="D1180" s="90" t="str">
        <f>VLOOKUP(Tabela1[[#This Row],[Origem]],'Perguntas 1 a 24'!$J$28:$K$34,2,FALSE)</f>
        <v>Sudeste</v>
      </c>
      <c r="E1180" s="90" t="s">
        <v>12519</v>
      </c>
      <c r="F1180" s="91">
        <v>46169</v>
      </c>
      <c r="G1180" s="92">
        <v>51732</v>
      </c>
      <c r="H1180" s="90" t="s">
        <v>11</v>
      </c>
      <c r="I11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80" s="90" t="s">
        <v>4535</v>
      </c>
    </row>
    <row r="1181" spans="1:11">
      <c r="A1181" s="90" t="s">
        <v>5940</v>
      </c>
      <c r="B1181" s="90" t="s">
        <v>5941</v>
      </c>
      <c r="C1181" s="90" t="s">
        <v>8</v>
      </c>
      <c r="D1181" s="90" t="str">
        <f>VLOOKUP(Tabela1[[#This Row],[Origem]],'Perguntas 1 a 24'!$J$28:$K$34,2,FALSE)</f>
        <v>Nordeste</v>
      </c>
      <c r="E1181" s="90" t="s">
        <v>12520</v>
      </c>
      <c r="F1181" s="91">
        <v>46169</v>
      </c>
      <c r="G1181" s="92">
        <v>35369</v>
      </c>
      <c r="H1181" s="90" t="s">
        <v>7</v>
      </c>
      <c r="I11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81" s="90" t="s">
        <v>5941</v>
      </c>
    </row>
    <row r="1182" spans="1:11">
      <c r="A1182" s="90" t="s">
        <v>8470</v>
      </c>
      <c r="B1182" s="90" t="s">
        <v>8471</v>
      </c>
      <c r="C1182" s="90" t="s">
        <v>16</v>
      </c>
      <c r="D1182" s="90" t="str">
        <f>VLOOKUP(Tabela1[[#This Row],[Origem]],'Perguntas 1 a 24'!$J$28:$K$34,2,FALSE)</f>
        <v>Sudeste</v>
      </c>
      <c r="E1182" s="90" t="s">
        <v>12521</v>
      </c>
      <c r="F1182" s="91">
        <v>46169</v>
      </c>
      <c r="G1182" s="92">
        <v>113689</v>
      </c>
      <c r="H1182" s="90" t="s">
        <v>9</v>
      </c>
      <c r="I11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82" s="90" t="s">
        <v>8471</v>
      </c>
    </row>
    <row r="1183" spans="1:11">
      <c r="A1183" s="90" t="s">
        <v>4906</v>
      </c>
      <c r="B1183" s="90" t="s">
        <v>4907</v>
      </c>
      <c r="C1183" s="90" t="s">
        <v>12</v>
      </c>
      <c r="D1183" s="90" t="str">
        <f>VLOOKUP(Tabela1[[#This Row],[Origem]],'Perguntas 1 a 24'!$J$28:$K$34,2,FALSE)</f>
        <v>Sudeste</v>
      </c>
      <c r="E1183" s="90" t="s">
        <v>12522</v>
      </c>
      <c r="F1183" s="91">
        <v>46171</v>
      </c>
      <c r="G1183" s="92">
        <v>59411</v>
      </c>
      <c r="H1183" s="90" t="s">
        <v>7</v>
      </c>
      <c r="I11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83" s="90" t="s">
        <v>4907</v>
      </c>
    </row>
    <row r="1184" spans="1:11">
      <c r="A1184" s="90" t="s">
        <v>5888</v>
      </c>
      <c r="B1184" s="90" t="s">
        <v>5889</v>
      </c>
      <c r="C1184" s="90" t="s">
        <v>16</v>
      </c>
      <c r="D1184" s="90" t="str">
        <f>VLOOKUP(Tabela1[[#This Row],[Origem]],'Perguntas 1 a 24'!$J$28:$K$34,2,FALSE)</f>
        <v>Sudeste</v>
      </c>
      <c r="E1184" s="90" t="s">
        <v>12523</v>
      </c>
      <c r="F1184" s="91">
        <v>46172</v>
      </c>
      <c r="G1184" s="92">
        <v>31567</v>
      </c>
      <c r="H1184" s="90" t="s">
        <v>11</v>
      </c>
      <c r="I11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84" s="90" t="s">
        <v>5889</v>
      </c>
    </row>
    <row r="1185" spans="1:11">
      <c r="A1185" s="90" t="s">
        <v>6098</v>
      </c>
      <c r="B1185" s="90" t="s">
        <v>6099</v>
      </c>
      <c r="C1185" s="90" t="s">
        <v>10</v>
      </c>
      <c r="D1185" s="90" t="str">
        <f>VLOOKUP(Tabela1[[#This Row],[Origem]],'Perguntas 1 a 24'!$J$28:$K$34,2,FALSE)</f>
        <v>Centro-Oeste</v>
      </c>
      <c r="E1185" s="90" t="s">
        <v>12524</v>
      </c>
      <c r="F1185" s="91">
        <v>46172</v>
      </c>
      <c r="G1185" s="92">
        <v>24650</v>
      </c>
      <c r="H1185" s="90" t="s">
        <v>9</v>
      </c>
      <c r="I11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85" s="90" t="s">
        <v>6099</v>
      </c>
    </row>
    <row r="1186" spans="1:11">
      <c r="A1186" s="90" t="s">
        <v>8164</v>
      </c>
      <c r="B1186" s="90" t="s">
        <v>8165</v>
      </c>
      <c r="C1186" s="90" t="s">
        <v>10</v>
      </c>
      <c r="D1186" s="90" t="str">
        <f>VLOOKUP(Tabela1[[#This Row],[Origem]],'Perguntas 1 a 24'!$J$28:$K$34,2,FALSE)</f>
        <v>Centro-Oeste</v>
      </c>
      <c r="E1186" s="90" t="s">
        <v>12525</v>
      </c>
      <c r="F1186" s="91">
        <v>46172</v>
      </c>
      <c r="G1186" s="92">
        <v>79620</v>
      </c>
      <c r="H1186" s="90" t="s">
        <v>9</v>
      </c>
      <c r="I11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86" s="90" t="s">
        <v>8165</v>
      </c>
    </row>
    <row r="1187" spans="1:11">
      <c r="A1187" s="90" t="s">
        <v>4846</v>
      </c>
      <c r="B1187" s="90" t="s">
        <v>4847</v>
      </c>
      <c r="C1187" s="90" t="s">
        <v>10</v>
      </c>
      <c r="D1187" s="90" t="str">
        <f>VLOOKUP(Tabela1[[#This Row],[Origem]],'Perguntas 1 a 24'!$J$28:$K$34,2,FALSE)</f>
        <v>Centro-Oeste</v>
      </c>
      <c r="E1187" s="90" t="s">
        <v>12526</v>
      </c>
      <c r="F1187" s="91">
        <v>46173</v>
      </c>
      <c r="G1187" s="92">
        <v>43636</v>
      </c>
      <c r="H1187" s="90" t="s">
        <v>11</v>
      </c>
      <c r="I11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87" s="90" t="s">
        <v>4847</v>
      </c>
    </row>
    <row r="1188" spans="1:11">
      <c r="A1188" s="90" t="s">
        <v>7130</v>
      </c>
      <c r="B1188" s="90" t="s">
        <v>7131</v>
      </c>
      <c r="C1188" s="90" t="s">
        <v>12</v>
      </c>
      <c r="D1188" s="90" t="str">
        <f>VLOOKUP(Tabela1[[#This Row],[Origem]],'Perguntas 1 a 24'!$J$28:$K$34,2,FALSE)</f>
        <v>Sudeste</v>
      </c>
      <c r="E1188" s="90" t="s">
        <v>12527</v>
      </c>
      <c r="F1188" s="91">
        <v>46173</v>
      </c>
      <c r="G1188" s="92">
        <v>20474</v>
      </c>
      <c r="H1188" s="90" t="s">
        <v>14</v>
      </c>
      <c r="I11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88" s="90" t="s">
        <v>7131</v>
      </c>
    </row>
    <row r="1189" spans="1:11">
      <c r="A1189" s="90" t="s">
        <v>9777</v>
      </c>
      <c r="B1189" s="90" t="s">
        <v>9778</v>
      </c>
      <c r="C1189" s="90" t="s">
        <v>16</v>
      </c>
      <c r="D1189" s="90" t="str">
        <f>VLOOKUP(Tabela1[[#This Row],[Origem]],'Perguntas 1 a 24'!$J$28:$K$34,2,FALSE)</f>
        <v>Sudeste</v>
      </c>
      <c r="E1189" s="90" t="s">
        <v>12528</v>
      </c>
      <c r="F1189" s="91">
        <v>46173</v>
      </c>
      <c r="G1189" s="92">
        <v>118734</v>
      </c>
      <c r="H1189" s="90" t="s">
        <v>9</v>
      </c>
      <c r="I11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89" s="90" t="s">
        <v>9778</v>
      </c>
    </row>
    <row r="1190" spans="1:11">
      <c r="A1190" s="90" t="s">
        <v>3880</v>
      </c>
      <c r="B1190" s="90" t="s">
        <v>3881</v>
      </c>
      <c r="C1190" s="90" t="s">
        <v>16</v>
      </c>
      <c r="D1190" s="90" t="str">
        <f>VLOOKUP(Tabela1[[#This Row],[Origem]],'Perguntas 1 a 24'!$J$28:$K$34,2,FALSE)</f>
        <v>Sudeste</v>
      </c>
      <c r="E1190" s="90" t="s">
        <v>12529</v>
      </c>
      <c r="F1190" s="91">
        <v>46174</v>
      </c>
      <c r="G1190" s="92">
        <v>58896</v>
      </c>
      <c r="H1190" s="90" t="s">
        <v>14</v>
      </c>
      <c r="I11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90" s="90" t="s">
        <v>3881</v>
      </c>
    </row>
    <row r="1191" spans="1:11">
      <c r="A1191" s="90" t="s">
        <v>9207</v>
      </c>
      <c r="B1191" s="90" t="s">
        <v>9208</v>
      </c>
      <c r="C1191" s="90" t="s">
        <v>8</v>
      </c>
      <c r="D1191" s="90" t="str">
        <f>VLOOKUP(Tabela1[[#This Row],[Origem]],'Perguntas 1 a 24'!$J$28:$K$34,2,FALSE)</f>
        <v>Nordeste</v>
      </c>
      <c r="E1191" s="90" t="s">
        <v>12530</v>
      </c>
      <c r="F1191" s="91">
        <v>46174</v>
      </c>
      <c r="G1191" s="92">
        <v>32712</v>
      </c>
      <c r="H1191" s="90" t="s">
        <v>9</v>
      </c>
      <c r="I11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91" s="90" t="s">
        <v>9208</v>
      </c>
    </row>
    <row r="1192" spans="1:11">
      <c r="A1192" s="90" t="s">
        <v>11267</v>
      </c>
      <c r="B1192" s="90" t="s">
        <v>11268</v>
      </c>
      <c r="C1192" s="90" t="s">
        <v>13</v>
      </c>
      <c r="D1192" s="90" t="str">
        <f>VLOOKUP(Tabela1[[#This Row],[Origem]],'Perguntas 1 a 24'!$J$28:$K$34,2,FALSE)</f>
        <v>Sudeste</v>
      </c>
      <c r="E1192" s="90" t="s">
        <v>12531</v>
      </c>
      <c r="F1192" s="91">
        <v>46174</v>
      </c>
      <c r="G1192" s="92">
        <v>31091</v>
      </c>
      <c r="H1192" s="90" t="s">
        <v>9</v>
      </c>
      <c r="I11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92" s="90" t="s">
        <v>11268</v>
      </c>
    </row>
    <row r="1193" spans="1:11">
      <c r="A1193" s="90" t="s">
        <v>8088</v>
      </c>
      <c r="B1193" s="90" t="s">
        <v>8089</v>
      </c>
      <c r="C1193" s="90" t="s">
        <v>10</v>
      </c>
      <c r="D1193" s="90" t="str">
        <f>VLOOKUP(Tabela1[[#This Row],[Origem]],'Perguntas 1 a 24'!$J$28:$K$34,2,FALSE)</f>
        <v>Centro-Oeste</v>
      </c>
      <c r="E1193" s="90" t="s">
        <v>12532</v>
      </c>
      <c r="F1193" s="91">
        <v>46175</v>
      </c>
      <c r="G1193" s="92">
        <v>42724</v>
      </c>
      <c r="H1193" s="90" t="s">
        <v>14</v>
      </c>
      <c r="I11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93" s="90" t="s">
        <v>8089</v>
      </c>
    </row>
    <row r="1194" spans="1:11">
      <c r="A1194" s="90" t="s">
        <v>3756</v>
      </c>
      <c r="B1194" s="90" t="s">
        <v>3757</v>
      </c>
      <c r="C1194" s="90" t="s">
        <v>13</v>
      </c>
      <c r="D1194" s="90" t="str">
        <f>VLOOKUP(Tabela1[[#This Row],[Origem]],'Perguntas 1 a 24'!$J$28:$K$34,2,FALSE)</f>
        <v>Sudeste</v>
      </c>
      <c r="E1194" s="90" t="s">
        <v>12533</v>
      </c>
      <c r="F1194" s="91">
        <v>46176</v>
      </c>
      <c r="G1194" s="92">
        <v>39517</v>
      </c>
      <c r="H1194" s="90" t="s">
        <v>11</v>
      </c>
      <c r="I11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194" s="90" t="s">
        <v>3757</v>
      </c>
    </row>
    <row r="1195" spans="1:11">
      <c r="A1195" s="90" t="s">
        <v>6902</v>
      </c>
      <c r="B1195" s="90" t="s">
        <v>6903</v>
      </c>
      <c r="C1195" s="90" t="s">
        <v>10</v>
      </c>
      <c r="D1195" s="90" t="str">
        <f>VLOOKUP(Tabela1[[#This Row],[Origem]],'Perguntas 1 a 24'!$J$28:$K$34,2,FALSE)</f>
        <v>Centro-Oeste</v>
      </c>
      <c r="E1195" s="90" t="s">
        <v>12534</v>
      </c>
      <c r="F1195" s="91">
        <v>46176</v>
      </c>
      <c r="G1195" s="92">
        <v>53272</v>
      </c>
      <c r="H1195" s="90" t="s">
        <v>9</v>
      </c>
      <c r="I11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95" s="90" t="s">
        <v>6903</v>
      </c>
    </row>
    <row r="1196" spans="1:11">
      <c r="A1196" s="90" t="s">
        <v>7438</v>
      </c>
      <c r="B1196" s="90" t="s">
        <v>7439</v>
      </c>
      <c r="C1196" s="90" t="s">
        <v>15</v>
      </c>
      <c r="D1196" s="90" t="str">
        <f>VLOOKUP(Tabela1[[#This Row],[Origem]],'Perguntas 1 a 24'!$J$28:$K$34,2,FALSE)</f>
        <v>Sudeste</v>
      </c>
      <c r="E1196" s="90" t="s">
        <v>12535</v>
      </c>
      <c r="F1196" s="91">
        <v>46176</v>
      </c>
      <c r="G1196" s="92">
        <v>90030</v>
      </c>
      <c r="H1196" s="90" t="s">
        <v>14</v>
      </c>
      <c r="I11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96" s="90" t="s">
        <v>7439</v>
      </c>
    </row>
    <row r="1197" spans="1:11">
      <c r="A1197" s="90" t="s">
        <v>7862</v>
      </c>
      <c r="B1197" s="90" t="s">
        <v>7863</v>
      </c>
      <c r="C1197" s="90" t="s">
        <v>15</v>
      </c>
      <c r="D1197" s="90" t="str">
        <f>VLOOKUP(Tabela1[[#This Row],[Origem]],'Perguntas 1 a 24'!$J$28:$K$34,2,FALSE)</f>
        <v>Sudeste</v>
      </c>
      <c r="E1197" s="90" t="s">
        <v>12536</v>
      </c>
      <c r="F1197" s="91">
        <v>46177</v>
      </c>
      <c r="G1197" s="92">
        <v>54941</v>
      </c>
      <c r="H1197" s="90" t="s">
        <v>14</v>
      </c>
      <c r="I11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97" s="90" t="s">
        <v>7863</v>
      </c>
    </row>
    <row r="1198" spans="1:11">
      <c r="A1198" s="90" t="s">
        <v>8717</v>
      </c>
      <c r="B1198" s="90" t="s">
        <v>8718</v>
      </c>
      <c r="C1198" s="90" t="s">
        <v>10</v>
      </c>
      <c r="D1198" s="90" t="str">
        <f>VLOOKUP(Tabela1[[#This Row],[Origem]],'Perguntas 1 a 24'!$J$28:$K$34,2,FALSE)</f>
        <v>Centro-Oeste</v>
      </c>
      <c r="E1198" s="90" t="s">
        <v>12537</v>
      </c>
      <c r="F1198" s="91">
        <v>46177</v>
      </c>
      <c r="G1198" s="92">
        <v>86490</v>
      </c>
      <c r="H1198" s="90" t="s">
        <v>14</v>
      </c>
      <c r="I11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98" s="90" t="s">
        <v>8718</v>
      </c>
    </row>
    <row r="1199" spans="1:11">
      <c r="A1199" s="90" t="s">
        <v>4670</v>
      </c>
      <c r="B1199" s="90" t="s">
        <v>4671</v>
      </c>
      <c r="C1199" s="90" t="s">
        <v>12</v>
      </c>
      <c r="D1199" s="90" t="str">
        <f>VLOOKUP(Tabela1[[#This Row],[Origem]],'Perguntas 1 a 24'!$J$28:$K$34,2,FALSE)</f>
        <v>Sudeste</v>
      </c>
      <c r="E1199" s="90" t="s">
        <v>12538</v>
      </c>
      <c r="F1199" s="91">
        <v>46178</v>
      </c>
      <c r="G1199" s="92">
        <v>114014</v>
      </c>
      <c r="H1199" s="90" t="s">
        <v>14</v>
      </c>
      <c r="I11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199" s="90" t="s">
        <v>4671</v>
      </c>
    </row>
    <row r="1200" spans="1:11">
      <c r="A1200" s="90" t="s">
        <v>7806</v>
      </c>
      <c r="B1200" s="90" t="s">
        <v>7807</v>
      </c>
      <c r="C1200" s="90" t="s">
        <v>12</v>
      </c>
      <c r="D1200" s="90" t="str">
        <f>VLOOKUP(Tabela1[[#This Row],[Origem]],'Perguntas 1 a 24'!$J$28:$K$34,2,FALSE)</f>
        <v>Sudeste</v>
      </c>
      <c r="E1200" s="90" t="s">
        <v>12539</v>
      </c>
      <c r="F1200" s="91">
        <v>46178</v>
      </c>
      <c r="G1200" s="92">
        <v>55753</v>
      </c>
      <c r="H1200" s="90" t="s">
        <v>9</v>
      </c>
      <c r="I12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00" s="90" t="s">
        <v>7807</v>
      </c>
    </row>
    <row r="1201" spans="1:11">
      <c r="A1201" s="90" t="s">
        <v>9501</v>
      </c>
      <c r="B1201" s="90" t="s">
        <v>9502</v>
      </c>
      <c r="C1201" s="90" t="s">
        <v>8</v>
      </c>
      <c r="D1201" s="90" t="str">
        <f>VLOOKUP(Tabela1[[#This Row],[Origem]],'Perguntas 1 a 24'!$J$28:$K$34,2,FALSE)</f>
        <v>Nordeste</v>
      </c>
      <c r="E1201" s="90" t="s">
        <v>12540</v>
      </c>
      <c r="F1201" s="91">
        <v>46178</v>
      </c>
      <c r="G1201" s="92">
        <v>47879</v>
      </c>
      <c r="H1201" s="90" t="s">
        <v>11</v>
      </c>
      <c r="I12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01" s="90" t="s">
        <v>9502</v>
      </c>
    </row>
    <row r="1202" spans="1:11">
      <c r="A1202" s="90" t="s">
        <v>3950</v>
      </c>
      <c r="B1202" s="90" t="s">
        <v>3951</v>
      </c>
      <c r="C1202" s="90" t="s">
        <v>12</v>
      </c>
      <c r="D1202" s="90" t="str">
        <f>VLOOKUP(Tabela1[[#This Row],[Origem]],'Perguntas 1 a 24'!$J$28:$K$34,2,FALSE)</f>
        <v>Sudeste</v>
      </c>
      <c r="E1202" s="90" t="s">
        <v>12541</v>
      </c>
      <c r="F1202" s="91">
        <v>46179</v>
      </c>
      <c r="G1202" s="92">
        <v>38875</v>
      </c>
      <c r="H1202" s="90" t="s">
        <v>7</v>
      </c>
      <c r="I12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02" s="90" t="s">
        <v>3951</v>
      </c>
    </row>
    <row r="1203" spans="1:11">
      <c r="A1203" s="90" t="s">
        <v>4465</v>
      </c>
      <c r="B1203" s="90" t="s">
        <v>4466</v>
      </c>
      <c r="C1203" s="90" t="s">
        <v>6</v>
      </c>
      <c r="D1203" s="90" t="str">
        <f>VLOOKUP(Tabela1[[#This Row],[Origem]],'Perguntas 1 a 24'!$J$28:$K$34,2,FALSE)</f>
        <v>Nordeste</v>
      </c>
      <c r="E1203" s="90" t="s">
        <v>12542</v>
      </c>
      <c r="F1203" s="91">
        <v>46179</v>
      </c>
      <c r="G1203" s="92">
        <v>62378</v>
      </c>
      <c r="H1203" s="90" t="s">
        <v>14</v>
      </c>
      <c r="I12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03" s="90" t="s">
        <v>4466</v>
      </c>
    </row>
    <row r="1204" spans="1:11">
      <c r="A1204" s="90" t="s">
        <v>5988</v>
      </c>
      <c r="B1204" s="90" t="s">
        <v>5989</v>
      </c>
      <c r="C1204" s="90" t="s">
        <v>13</v>
      </c>
      <c r="D1204" s="90" t="str">
        <f>VLOOKUP(Tabela1[[#This Row],[Origem]],'Perguntas 1 a 24'!$J$28:$K$34,2,FALSE)</f>
        <v>Sudeste</v>
      </c>
      <c r="E1204" s="90" t="s">
        <v>12543</v>
      </c>
      <c r="F1204" s="91">
        <v>46179</v>
      </c>
      <c r="G1204" s="92">
        <v>97091</v>
      </c>
      <c r="H1204" s="90" t="s">
        <v>9</v>
      </c>
      <c r="I12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04" s="90" t="s">
        <v>5989</v>
      </c>
    </row>
    <row r="1205" spans="1:11">
      <c r="A1205" s="90" t="s">
        <v>9953</v>
      </c>
      <c r="B1205" s="90" t="s">
        <v>9954</v>
      </c>
      <c r="C1205" s="90" t="s">
        <v>10</v>
      </c>
      <c r="D1205" s="90" t="str">
        <f>VLOOKUP(Tabela1[[#This Row],[Origem]],'Perguntas 1 a 24'!$J$28:$K$34,2,FALSE)</f>
        <v>Centro-Oeste</v>
      </c>
      <c r="E1205" s="90" t="s">
        <v>12544</v>
      </c>
      <c r="F1205" s="91">
        <v>46179</v>
      </c>
      <c r="G1205" s="92">
        <v>38866</v>
      </c>
      <c r="H1205" s="90" t="s">
        <v>7</v>
      </c>
      <c r="I12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05" s="90" t="s">
        <v>9954</v>
      </c>
    </row>
    <row r="1206" spans="1:11">
      <c r="A1206" s="90" t="s">
        <v>10913</v>
      </c>
      <c r="B1206" s="90" t="s">
        <v>10914</v>
      </c>
      <c r="C1206" s="90" t="s">
        <v>10</v>
      </c>
      <c r="D1206" s="90" t="str">
        <f>VLOOKUP(Tabela1[[#This Row],[Origem]],'Perguntas 1 a 24'!$J$28:$K$34,2,FALSE)</f>
        <v>Centro-Oeste</v>
      </c>
      <c r="E1206" s="90" t="s">
        <v>12545</v>
      </c>
      <c r="F1206" s="91">
        <v>46179</v>
      </c>
      <c r="G1206" s="92">
        <v>119087</v>
      </c>
      <c r="H1206" s="90" t="s">
        <v>11</v>
      </c>
      <c r="I12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06" s="90" t="s">
        <v>10914</v>
      </c>
    </row>
    <row r="1207" spans="1:11">
      <c r="A1207" s="90" t="s">
        <v>3800</v>
      </c>
      <c r="B1207" s="90" t="s">
        <v>3801</v>
      </c>
      <c r="C1207" s="90" t="s">
        <v>10</v>
      </c>
      <c r="D1207" s="90" t="str">
        <f>VLOOKUP(Tabela1[[#This Row],[Origem]],'Perguntas 1 a 24'!$J$28:$K$34,2,FALSE)</f>
        <v>Centro-Oeste</v>
      </c>
      <c r="E1207" s="90" t="s">
        <v>12546</v>
      </c>
      <c r="F1207" s="91">
        <v>46180</v>
      </c>
      <c r="G1207" s="92">
        <v>68341</v>
      </c>
      <c r="H1207" s="90" t="s">
        <v>7</v>
      </c>
      <c r="I12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07" s="90" t="s">
        <v>3801</v>
      </c>
    </row>
    <row r="1208" spans="1:11">
      <c r="A1208" s="90" t="s">
        <v>5648</v>
      </c>
      <c r="B1208" s="90" t="s">
        <v>5649</v>
      </c>
      <c r="C1208" s="90" t="s">
        <v>12</v>
      </c>
      <c r="D1208" s="90" t="str">
        <f>VLOOKUP(Tabela1[[#This Row],[Origem]],'Perguntas 1 a 24'!$J$28:$K$34,2,FALSE)</f>
        <v>Sudeste</v>
      </c>
      <c r="E1208" s="90" t="s">
        <v>12547</v>
      </c>
      <c r="F1208" s="91">
        <v>46180</v>
      </c>
      <c r="G1208" s="92">
        <v>81799</v>
      </c>
      <c r="H1208" s="90" t="s">
        <v>9</v>
      </c>
      <c r="I12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08" s="90" t="s">
        <v>5649</v>
      </c>
    </row>
    <row r="1209" spans="1:11">
      <c r="A1209" s="90" t="s">
        <v>5754</v>
      </c>
      <c r="B1209" s="90" t="s">
        <v>5755</v>
      </c>
      <c r="C1209" s="90" t="s">
        <v>16</v>
      </c>
      <c r="D1209" s="90" t="str">
        <f>VLOOKUP(Tabela1[[#This Row],[Origem]],'Perguntas 1 a 24'!$J$28:$K$34,2,FALSE)</f>
        <v>Sudeste</v>
      </c>
      <c r="E1209" s="90" t="s">
        <v>12548</v>
      </c>
      <c r="F1209" s="91">
        <v>46180</v>
      </c>
      <c r="G1209" s="92">
        <v>119451</v>
      </c>
      <c r="H1209" s="90" t="s">
        <v>9</v>
      </c>
      <c r="I12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09" s="90" t="s">
        <v>5755</v>
      </c>
    </row>
    <row r="1210" spans="1:11">
      <c r="A1210" s="90" t="s">
        <v>7890</v>
      </c>
      <c r="B1210" s="90" t="s">
        <v>7891</v>
      </c>
      <c r="C1210" s="90" t="s">
        <v>13</v>
      </c>
      <c r="D1210" s="90" t="str">
        <f>VLOOKUP(Tabela1[[#This Row],[Origem]],'Perguntas 1 a 24'!$J$28:$K$34,2,FALSE)</f>
        <v>Sudeste</v>
      </c>
      <c r="E1210" s="90" t="s">
        <v>12549</v>
      </c>
      <c r="F1210" s="91">
        <v>46180</v>
      </c>
      <c r="G1210" s="92">
        <v>66945</v>
      </c>
      <c r="H1210" s="90" t="s">
        <v>7</v>
      </c>
      <c r="I12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10" s="90" t="s">
        <v>7891</v>
      </c>
    </row>
    <row r="1211" spans="1:11">
      <c r="A1211" s="90" t="s">
        <v>7938</v>
      </c>
      <c r="B1211" s="90" t="s">
        <v>7939</v>
      </c>
      <c r="C1211" s="90" t="s">
        <v>12</v>
      </c>
      <c r="D1211" s="90" t="str">
        <f>VLOOKUP(Tabela1[[#This Row],[Origem]],'Perguntas 1 a 24'!$J$28:$K$34,2,FALSE)</f>
        <v>Sudeste</v>
      </c>
      <c r="E1211" s="90" t="s">
        <v>12550</v>
      </c>
      <c r="F1211" s="91">
        <v>46180</v>
      </c>
      <c r="G1211" s="92">
        <v>116758</v>
      </c>
      <c r="H1211" s="90" t="s">
        <v>11</v>
      </c>
      <c r="I12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11" s="90" t="s">
        <v>7939</v>
      </c>
    </row>
    <row r="1212" spans="1:11">
      <c r="A1212" s="90" t="s">
        <v>3986</v>
      </c>
      <c r="B1212" s="90" t="s">
        <v>3987</v>
      </c>
      <c r="C1212" s="90" t="s">
        <v>15</v>
      </c>
      <c r="D1212" s="90" t="str">
        <f>VLOOKUP(Tabela1[[#This Row],[Origem]],'Perguntas 1 a 24'!$J$28:$K$34,2,FALSE)</f>
        <v>Sudeste</v>
      </c>
      <c r="E1212" s="90" t="s">
        <v>12551</v>
      </c>
      <c r="F1212" s="91">
        <v>46181</v>
      </c>
      <c r="G1212" s="92">
        <v>42080</v>
      </c>
      <c r="H1212" s="90" t="s">
        <v>14</v>
      </c>
      <c r="I12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12" s="90" t="s">
        <v>3987</v>
      </c>
    </row>
    <row r="1213" spans="1:11">
      <c r="A1213" s="90" t="s">
        <v>4706</v>
      </c>
      <c r="B1213" s="90" t="s">
        <v>4707</v>
      </c>
      <c r="C1213" s="90" t="s">
        <v>15</v>
      </c>
      <c r="D1213" s="90" t="str">
        <f>VLOOKUP(Tabela1[[#This Row],[Origem]],'Perguntas 1 a 24'!$J$28:$K$34,2,FALSE)</f>
        <v>Sudeste</v>
      </c>
      <c r="E1213" s="90" t="s">
        <v>12552</v>
      </c>
      <c r="F1213" s="91">
        <v>46181</v>
      </c>
      <c r="G1213" s="92">
        <v>111959</v>
      </c>
      <c r="H1213" s="90" t="s">
        <v>7</v>
      </c>
      <c r="I12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13" s="90" t="s">
        <v>4707</v>
      </c>
    </row>
    <row r="1214" spans="1:11">
      <c r="A1214" s="90" t="s">
        <v>8767</v>
      </c>
      <c r="B1214" s="90" t="s">
        <v>8768</v>
      </c>
      <c r="C1214" s="90" t="s">
        <v>6</v>
      </c>
      <c r="D1214" s="90" t="str">
        <f>VLOOKUP(Tabela1[[#This Row],[Origem]],'Perguntas 1 a 24'!$J$28:$K$34,2,FALSE)</f>
        <v>Nordeste</v>
      </c>
      <c r="E1214" s="90" t="s">
        <v>12553</v>
      </c>
      <c r="F1214" s="91">
        <v>46181</v>
      </c>
      <c r="G1214" s="92">
        <v>68788</v>
      </c>
      <c r="H1214" s="90" t="s">
        <v>14</v>
      </c>
      <c r="I12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14" s="90" t="s">
        <v>8768</v>
      </c>
    </row>
    <row r="1215" spans="1:11">
      <c r="A1215" s="90" t="s">
        <v>4622</v>
      </c>
      <c r="B1215" s="90" t="s">
        <v>4623</v>
      </c>
      <c r="C1215" s="90" t="s">
        <v>12</v>
      </c>
      <c r="D1215" s="90" t="str">
        <f>VLOOKUP(Tabela1[[#This Row],[Origem]],'Perguntas 1 a 24'!$J$28:$K$34,2,FALSE)</f>
        <v>Sudeste</v>
      </c>
      <c r="E1215" s="90" t="s">
        <v>12554</v>
      </c>
      <c r="F1215" s="91">
        <v>46182</v>
      </c>
      <c r="G1215" s="92">
        <v>29669</v>
      </c>
      <c r="H1215" s="90" t="s">
        <v>7</v>
      </c>
      <c r="I12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15" s="90" t="s">
        <v>4623</v>
      </c>
    </row>
    <row r="1216" spans="1:11">
      <c r="A1216" s="90" t="s">
        <v>8418</v>
      </c>
      <c r="B1216" s="90" t="s">
        <v>8419</v>
      </c>
      <c r="C1216" s="90" t="s">
        <v>15</v>
      </c>
      <c r="D1216" s="90" t="str">
        <f>VLOOKUP(Tabela1[[#This Row],[Origem]],'Perguntas 1 a 24'!$J$28:$K$34,2,FALSE)</f>
        <v>Sudeste</v>
      </c>
      <c r="E1216" s="90" t="s">
        <v>12555</v>
      </c>
      <c r="F1216" s="91">
        <v>46183</v>
      </c>
      <c r="G1216" s="92">
        <v>95441</v>
      </c>
      <c r="H1216" s="90" t="s">
        <v>11</v>
      </c>
      <c r="I12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16" s="90" t="s">
        <v>8419</v>
      </c>
    </row>
    <row r="1217" spans="1:11">
      <c r="A1217" s="90" t="s">
        <v>11311</v>
      </c>
      <c r="B1217" s="90" t="s">
        <v>11312</v>
      </c>
      <c r="C1217" s="90" t="s">
        <v>13</v>
      </c>
      <c r="D1217" s="90" t="str">
        <f>VLOOKUP(Tabela1[[#This Row],[Origem]],'Perguntas 1 a 24'!$J$28:$K$34,2,FALSE)</f>
        <v>Sudeste</v>
      </c>
      <c r="E1217" s="90" t="s">
        <v>12556</v>
      </c>
      <c r="F1217" s="91">
        <v>46183</v>
      </c>
      <c r="G1217" s="92">
        <v>80153</v>
      </c>
      <c r="H1217" s="90" t="s">
        <v>9</v>
      </c>
      <c r="I12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17" s="90" t="s">
        <v>11312</v>
      </c>
    </row>
    <row r="1218" spans="1:11">
      <c r="A1218" s="90" t="s">
        <v>7410</v>
      </c>
      <c r="B1218" s="90" t="s">
        <v>7411</v>
      </c>
      <c r="C1218" s="90" t="s">
        <v>16</v>
      </c>
      <c r="D1218" s="90" t="str">
        <f>VLOOKUP(Tabela1[[#This Row],[Origem]],'Perguntas 1 a 24'!$J$28:$K$34,2,FALSE)</f>
        <v>Sudeste</v>
      </c>
      <c r="E1218" s="90" t="s">
        <v>12557</v>
      </c>
      <c r="F1218" s="91">
        <v>46184</v>
      </c>
      <c r="G1218" s="92">
        <v>98266</v>
      </c>
      <c r="H1218" s="90" t="s">
        <v>11</v>
      </c>
      <c r="I12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18" s="90" t="s">
        <v>7411</v>
      </c>
    </row>
    <row r="1219" spans="1:11">
      <c r="A1219" s="90" t="s">
        <v>11289</v>
      </c>
      <c r="B1219" s="90" t="s">
        <v>11290</v>
      </c>
      <c r="C1219" s="90" t="s">
        <v>8</v>
      </c>
      <c r="D1219" s="90" t="str">
        <f>VLOOKUP(Tabela1[[#This Row],[Origem]],'Perguntas 1 a 24'!$J$28:$K$34,2,FALSE)</f>
        <v>Nordeste</v>
      </c>
      <c r="E1219" s="90" t="s">
        <v>12558</v>
      </c>
      <c r="F1219" s="91">
        <v>46184</v>
      </c>
      <c r="G1219" s="92">
        <v>112002</v>
      </c>
      <c r="H1219" s="90" t="s">
        <v>9</v>
      </c>
      <c r="I12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19" s="90" t="s">
        <v>11290</v>
      </c>
    </row>
    <row r="1220" spans="1:11">
      <c r="A1220" s="90" t="s">
        <v>8484</v>
      </c>
      <c r="B1220" s="90" t="s">
        <v>8485</v>
      </c>
      <c r="C1220" s="90" t="s">
        <v>6</v>
      </c>
      <c r="D1220" s="90" t="str">
        <f>VLOOKUP(Tabela1[[#This Row],[Origem]],'Perguntas 1 a 24'!$J$28:$K$34,2,FALSE)</f>
        <v>Nordeste</v>
      </c>
      <c r="E1220" s="90" t="s">
        <v>12559</v>
      </c>
      <c r="F1220" s="91">
        <v>46185</v>
      </c>
      <c r="G1220" s="92">
        <v>38704</v>
      </c>
      <c r="H1220" s="90" t="s">
        <v>11</v>
      </c>
      <c r="I12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20" s="90" t="s">
        <v>8485</v>
      </c>
    </row>
    <row r="1221" spans="1:11">
      <c r="A1221" s="90" t="s">
        <v>5578</v>
      </c>
      <c r="B1221" s="90" t="s">
        <v>5579</v>
      </c>
      <c r="C1221" s="90" t="s">
        <v>13</v>
      </c>
      <c r="D1221" s="90" t="str">
        <f>VLOOKUP(Tabela1[[#This Row],[Origem]],'Perguntas 1 a 24'!$J$28:$K$34,2,FALSE)</f>
        <v>Sudeste</v>
      </c>
      <c r="E1221" s="90" t="s">
        <v>12560</v>
      </c>
      <c r="F1221" s="91">
        <v>46186</v>
      </c>
      <c r="G1221" s="92">
        <v>117699</v>
      </c>
      <c r="H1221" s="90" t="s">
        <v>7</v>
      </c>
      <c r="I12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21" s="90" t="s">
        <v>5579</v>
      </c>
    </row>
    <row r="1222" spans="1:11">
      <c r="A1222" s="90" t="s">
        <v>5728</v>
      </c>
      <c r="B1222" s="90" t="s">
        <v>5729</v>
      </c>
      <c r="C1222" s="90" t="s">
        <v>8</v>
      </c>
      <c r="D1222" s="90" t="str">
        <f>VLOOKUP(Tabela1[[#This Row],[Origem]],'Perguntas 1 a 24'!$J$28:$K$34,2,FALSE)</f>
        <v>Nordeste</v>
      </c>
      <c r="E1222" s="90" t="s">
        <v>12561</v>
      </c>
      <c r="F1222" s="91">
        <v>46186</v>
      </c>
      <c r="G1222" s="92">
        <v>93419</v>
      </c>
      <c r="H1222" s="90" t="s">
        <v>7</v>
      </c>
      <c r="I12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22" s="90" t="s">
        <v>5729</v>
      </c>
    </row>
    <row r="1223" spans="1:11">
      <c r="A1223" s="90" t="s">
        <v>6622</v>
      </c>
      <c r="B1223" s="90" t="s">
        <v>6623</v>
      </c>
      <c r="C1223" s="90" t="s">
        <v>15</v>
      </c>
      <c r="D1223" s="90" t="str">
        <f>VLOOKUP(Tabela1[[#This Row],[Origem]],'Perguntas 1 a 24'!$J$28:$K$34,2,FALSE)</f>
        <v>Sudeste</v>
      </c>
      <c r="E1223" s="90" t="s">
        <v>12562</v>
      </c>
      <c r="F1223" s="91">
        <v>46186</v>
      </c>
      <c r="G1223" s="92">
        <v>57004</v>
      </c>
      <c r="H1223" s="90" t="s">
        <v>14</v>
      </c>
      <c r="I12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23" s="90" t="s">
        <v>6623</v>
      </c>
    </row>
    <row r="1224" spans="1:11">
      <c r="A1224" s="90" t="s">
        <v>3806</v>
      </c>
      <c r="B1224" s="90" t="s">
        <v>3807</v>
      </c>
      <c r="C1224" s="90" t="s">
        <v>15</v>
      </c>
      <c r="D1224" s="90" t="str">
        <f>VLOOKUP(Tabela1[[#This Row],[Origem]],'Perguntas 1 a 24'!$J$28:$K$34,2,FALSE)</f>
        <v>Sudeste</v>
      </c>
      <c r="E1224" s="90" t="s">
        <v>12563</v>
      </c>
      <c r="F1224" s="91">
        <v>46187</v>
      </c>
      <c r="G1224" s="92">
        <v>37337</v>
      </c>
      <c r="H1224" s="90" t="s">
        <v>9</v>
      </c>
      <c r="I12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24" s="90" t="s">
        <v>3807</v>
      </c>
    </row>
    <row r="1225" spans="1:11">
      <c r="A1225" s="90" t="s">
        <v>6050</v>
      </c>
      <c r="B1225" s="90" t="s">
        <v>6051</v>
      </c>
      <c r="C1225" s="90" t="s">
        <v>16</v>
      </c>
      <c r="D1225" s="90" t="str">
        <f>VLOOKUP(Tabela1[[#This Row],[Origem]],'Perguntas 1 a 24'!$J$28:$K$34,2,FALSE)</f>
        <v>Sudeste</v>
      </c>
      <c r="E1225" s="90" t="s">
        <v>12564</v>
      </c>
      <c r="F1225" s="91">
        <v>46187</v>
      </c>
      <c r="G1225" s="92">
        <v>93616</v>
      </c>
      <c r="H1225" s="90" t="s">
        <v>9</v>
      </c>
      <c r="I12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25" s="90" t="s">
        <v>6051</v>
      </c>
    </row>
    <row r="1226" spans="1:11">
      <c r="A1226" s="90" t="s">
        <v>8687</v>
      </c>
      <c r="B1226" s="90" t="s">
        <v>8688</v>
      </c>
      <c r="C1226" s="90" t="s">
        <v>12</v>
      </c>
      <c r="D1226" s="90" t="str">
        <f>VLOOKUP(Tabela1[[#This Row],[Origem]],'Perguntas 1 a 24'!$J$28:$K$34,2,FALSE)</f>
        <v>Sudeste</v>
      </c>
      <c r="E1226" s="90" t="s">
        <v>12565</v>
      </c>
      <c r="F1226" s="91">
        <v>46187</v>
      </c>
      <c r="G1226" s="92">
        <v>81403</v>
      </c>
      <c r="H1226" s="90" t="s">
        <v>11</v>
      </c>
      <c r="I12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26" s="90" t="s">
        <v>8688</v>
      </c>
    </row>
    <row r="1227" spans="1:11">
      <c r="A1227" s="90" t="s">
        <v>9431</v>
      </c>
      <c r="B1227" s="90" t="s">
        <v>9432</v>
      </c>
      <c r="C1227" s="90" t="s">
        <v>10</v>
      </c>
      <c r="D1227" s="90" t="str">
        <f>VLOOKUP(Tabela1[[#This Row],[Origem]],'Perguntas 1 a 24'!$J$28:$K$34,2,FALSE)</f>
        <v>Centro-Oeste</v>
      </c>
      <c r="E1227" s="90" t="s">
        <v>12566</v>
      </c>
      <c r="F1227" s="91">
        <v>46187</v>
      </c>
      <c r="G1227" s="92">
        <v>76497</v>
      </c>
      <c r="H1227" s="90" t="s">
        <v>7</v>
      </c>
      <c r="I12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27" s="90" t="s">
        <v>9432</v>
      </c>
    </row>
    <row r="1228" spans="1:11">
      <c r="A1228" s="90" t="s">
        <v>10657</v>
      </c>
      <c r="B1228" s="90" t="s">
        <v>10658</v>
      </c>
      <c r="C1228" s="90" t="s">
        <v>8</v>
      </c>
      <c r="D1228" s="90" t="str">
        <f>VLOOKUP(Tabela1[[#This Row],[Origem]],'Perguntas 1 a 24'!$J$28:$K$34,2,FALSE)</f>
        <v>Nordeste</v>
      </c>
      <c r="E1228" s="90" t="s">
        <v>12567</v>
      </c>
      <c r="F1228" s="91">
        <v>46187</v>
      </c>
      <c r="G1228" s="92">
        <v>91069</v>
      </c>
      <c r="H1228" s="90" t="s">
        <v>14</v>
      </c>
      <c r="I12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28" s="90" t="s">
        <v>10658</v>
      </c>
    </row>
    <row r="1229" spans="1:11">
      <c r="A1229" s="90" t="s">
        <v>10677</v>
      </c>
      <c r="B1229" s="90" t="s">
        <v>10678</v>
      </c>
      <c r="C1229" s="90" t="s">
        <v>15</v>
      </c>
      <c r="D1229" s="90" t="str">
        <f>VLOOKUP(Tabela1[[#This Row],[Origem]],'Perguntas 1 a 24'!$J$28:$K$34,2,FALSE)</f>
        <v>Sudeste</v>
      </c>
      <c r="E1229" s="90" t="s">
        <v>12568</v>
      </c>
      <c r="F1229" s="91">
        <v>46188</v>
      </c>
      <c r="G1229" s="92">
        <v>90005</v>
      </c>
      <c r="H1229" s="90" t="s">
        <v>7</v>
      </c>
      <c r="I12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29" s="90" t="s">
        <v>10678</v>
      </c>
    </row>
    <row r="1230" spans="1:11">
      <c r="A1230" s="90" t="s">
        <v>7932</v>
      </c>
      <c r="B1230" s="90" t="s">
        <v>7933</v>
      </c>
      <c r="C1230" s="90" t="s">
        <v>8</v>
      </c>
      <c r="D1230" s="90" t="str">
        <f>VLOOKUP(Tabela1[[#This Row],[Origem]],'Perguntas 1 a 24'!$J$28:$K$34,2,FALSE)</f>
        <v>Nordeste</v>
      </c>
      <c r="E1230" s="90" t="s">
        <v>12569</v>
      </c>
      <c r="F1230" s="91">
        <v>46189</v>
      </c>
      <c r="G1230" s="92">
        <v>90027</v>
      </c>
      <c r="H1230" s="90" t="s">
        <v>11</v>
      </c>
      <c r="I12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30" s="90" t="s">
        <v>7933</v>
      </c>
    </row>
    <row r="1231" spans="1:11">
      <c r="A1231" s="90" t="s">
        <v>5008</v>
      </c>
      <c r="B1231" s="90" t="s">
        <v>5009</v>
      </c>
      <c r="C1231" s="90" t="s">
        <v>16</v>
      </c>
      <c r="D1231" s="90" t="str">
        <f>VLOOKUP(Tabela1[[#This Row],[Origem]],'Perguntas 1 a 24'!$J$28:$K$34,2,FALSE)</f>
        <v>Sudeste</v>
      </c>
      <c r="E1231" s="90" t="s">
        <v>12570</v>
      </c>
      <c r="F1231" s="91">
        <v>46191</v>
      </c>
      <c r="G1231" s="92">
        <v>55429</v>
      </c>
      <c r="H1231" s="90" t="s">
        <v>7</v>
      </c>
      <c r="I12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31" s="90" t="s">
        <v>5009</v>
      </c>
    </row>
    <row r="1232" spans="1:11">
      <c r="A1232" s="90" t="s">
        <v>6186</v>
      </c>
      <c r="B1232" s="90" t="s">
        <v>6187</v>
      </c>
      <c r="C1232" s="90" t="s">
        <v>16</v>
      </c>
      <c r="D1232" s="90" t="str">
        <f>VLOOKUP(Tabela1[[#This Row],[Origem]],'Perguntas 1 a 24'!$J$28:$K$34,2,FALSE)</f>
        <v>Sudeste</v>
      </c>
      <c r="E1232" s="90" t="s">
        <v>12571</v>
      </c>
      <c r="F1232" s="91">
        <v>46191</v>
      </c>
      <c r="G1232" s="92">
        <v>35869</v>
      </c>
      <c r="H1232" s="90" t="s">
        <v>9</v>
      </c>
      <c r="I12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32" s="90" t="s">
        <v>6187</v>
      </c>
    </row>
    <row r="1233" spans="1:11">
      <c r="A1233" s="90" t="s">
        <v>9121</v>
      </c>
      <c r="B1233" s="90" t="s">
        <v>9122</v>
      </c>
      <c r="C1233" s="90" t="s">
        <v>13</v>
      </c>
      <c r="D1233" s="90" t="str">
        <f>VLOOKUP(Tabela1[[#This Row],[Origem]],'Perguntas 1 a 24'!$J$28:$K$34,2,FALSE)</f>
        <v>Sudeste</v>
      </c>
      <c r="E1233" s="90" t="s">
        <v>12572</v>
      </c>
      <c r="F1233" s="91">
        <v>46191</v>
      </c>
      <c r="G1233" s="92">
        <v>92766</v>
      </c>
      <c r="H1233" s="90" t="s">
        <v>11</v>
      </c>
      <c r="I12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33" s="90" t="s">
        <v>9122</v>
      </c>
    </row>
    <row r="1234" spans="1:11">
      <c r="A1234" s="90" t="s">
        <v>3922</v>
      </c>
      <c r="B1234" s="90" t="s">
        <v>3923</v>
      </c>
      <c r="C1234" s="90" t="s">
        <v>12</v>
      </c>
      <c r="D1234" s="90" t="str">
        <f>VLOOKUP(Tabela1[[#This Row],[Origem]],'Perguntas 1 a 24'!$J$28:$K$34,2,FALSE)</f>
        <v>Sudeste</v>
      </c>
      <c r="E1234" s="90" t="s">
        <v>12573</v>
      </c>
      <c r="F1234" s="91">
        <v>46193</v>
      </c>
      <c r="G1234" s="92">
        <v>60366</v>
      </c>
      <c r="H1234" s="90" t="s">
        <v>14</v>
      </c>
      <c r="I12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34" s="90" t="s">
        <v>3923</v>
      </c>
    </row>
    <row r="1235" spans="1:11">
      <c r="A1235" s="90" t="s">
        <v>9149</v>
      </c>
      <c r="B1235" s="90" t="s">
        <v>9150</v>
      </c>
      <c r="C1235" s="90" t="s">
        <v>8</v>
      </c>
      <c r="D1235" s="90" t="str">
        <f>VLOOKUP(Tabela1[[#This Row],[Origem]],'Perguntas 1 a 24'!$J$28:$K$34,2,FALSE)</f>
        <v>Nordeste</v>
      </c>
      <c r="E1235" s="90" t="s">
        <v>12574</v>
      </c>
      <c r="F1235" s="91">
        <v>46193</v>
      </c>
      <c r="G1235" s="92">
        <v>91135</v>
      </c>
      <c r="H1235" s="90" t="s">
        <v>14</v>
      </c>
      <c r="I12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35" s="90" t="s">
        <v>9150</v>
      </c>
    </row>
    <row r="1236" spans="1:11">
      <c r="A1236" s="90" t="s">
        <v>9915</v>
      </c>
      <c r="B1236" s="90" t="s">
        <v>9916</v>
      </c>
      <c r="C1236" s="90" t="s">
        <v>10</v>
      </c>
      <c r="D1236" s="90" t="str">
        <f>VLOOKUP(Tabela1[[#This Row],[Origem]],'Perguntas 1 a 24'!$J$28:$K$34,2,FALSE)</f>
        <v>Centro-Oeste</v>
      </c>
      <c r="E1236" s="90" t="s">
        <v>12575</v>
      </c>
      <c r="F1236" s="91">
        <v>46193</v>
      </c>
      <c r="G1236" s="92">
        <v>75808</v>
      </c>
      <c r="H1236" s="90" t="s">
        <v>9</v>
      </c>
      <c r="I12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36" s="90" t="s">
        <v>9916</v>
      </c>
    </row>
    <row r="1237" spans="1:11">
      <c r="A1237" s="90" t="s">
        <v>5300</v>
      </c>
      <c r="B1237" s="90" t="s">
        <v>5301</v>
      </c>
      <c r="C1237" s="90" t="s">
        <v>16</v>
      </c>
      <c r="D1237" s="90" t="str">
        <f>VLOOKUP(Tabela1[[#This Row],[Origem]],'Perguntas 1 a 24'!$J$28:$K$34,2,FALSE)</f>
        <v>Sudeste</v>
      </c>
      <c r="E1237" s="90" t="s">
        <v>12576</v>
      </c>
      <c r="F1237" s="91">
        <v>46194</v>
      </c>
      <c r="G1237" s="92">
        <v>85588</v>
      </c>
      <c r="H1237" s="90" t="s">
        <v>9</v>
      </c>
      <c r="I12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37" s="90" t="s">
        <v>5301</v>
      </c>
    </row>
    <row r="1238" spans="1:11">
      <c r="A1238" s="90" t="s">
        <v>5364</v>
      </c>
      <c r="B1238" s="90" t="s">
        <v>5365</v>
      </c>
      <c r="C1238" s="90" t="s">
        <v>12</v>
      </c>
      <c r="D1238" s="90" t="str">
        <f>VLOOKUP(Tabela1[[#This Row],[Origem]],'Perguntas 1 a 24'!$J$28:$K$34,2,FALSE)</f>
        <v>Sudeste</v>
      </c>
      <c r="E1238" s="90" t="s">
        <v>12577</v>
      </c>
      <c r="F1238" s="91">
        <v>46195</v>
      </c>
      <c r="G1238" s="92">
        <v>33378</v>
      </c>
      <c r="H1238" s="90" t="s">
        <v>9</v>
      </c>
      <c r="I12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38" s="90" t="s">
        <v>5365</v>
      </c>
    </row>
    <row r="1239" spans="1:11">
      <c r="A1239" s="90" t="s">
        <v>10129</v>
      </c>
      <c r="B1239" s="90" t="s">
        <v>10130</v>
      </c>
      <c r="C1239" s="90" t="s">
        <v>15</v>
      </c>
      <c r="D1239" s="90" t="str">
        <f>VLOOKUP(Tabela1[[#This Row],[Origem]],'Perguntas 1 a 24'!$J$28:$K$34,2,FALSE)</f>
        <v>Sudeste</v>
      </c>
      <c r="E1239" s="90" t="s">
        <v>12578</v>
      </c>
      <c r="F1239" s="91">
        <v>46195</v>
      </c>
      <c r="G1239" s="92">
        <v>107618</v>
      </c>
      <c r="H1239" s="90" t="s">
        <v>7</v>
      </c>
      <c r="I12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39" s="90" t="s">
        <v>10130</v>
      </c>
    </row>
    <row r="1240" spans="1:11">
      <c r="A1240" s="90" t="s">
        <v>6954</v>
      </c>
      <c r="B1240" s="90" t="s">
        <v>6955</v>
      </c>
      <c r="C1240" s="90" t="s">
        <v>13</v>
      </c>
      <c r="D1240" s="90" t="str">
        <f>VLOOKUP(Tabela1[[#This Row],[Origem]],'Perguntas 1 a 24'!$J$28:$K$34,2,FALSE)</f>
        <v>Sudeste</v>
      </c>
      <c r="E1240" s="90" t="s">
        <v>12579</v>
      </c>
      <c r="F1240" s="91">
        <v>46197</v>
      </c>
      <c r="G1240" s="92">
        <v>38333</v>
      </c>
      <c r="H1240" s="90" t="s">
        <v>7</v>
      </c>
      <c r="I12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40" s="90" t="s">
        <v>6955</v>
      </c>
    </row>
    <row r="1241" spans="1:11">
      <c r="A1241" s="90" t="s">
        <v>10035</v>
      </c>
      <c r="B1241" s="90" t="s">
        <v>10036</v>
      </c>
      <c r="C1241" s="90" t="s">
        <v>8</v>
      </c>
      <c r="D1241" s="90" t="str">
        <f>VLOOKUP(Tabela1[[#This Row],[Origem]],'Perguntas 1 a 24'!$J$28:$K$34,2,FALSE)</f>
        <v>Nordeste</v>
      </c>
      <c r="E1241" s="90" t="s">
        <v>12580</v>
      </c>
      <c r="F1241" s="91">
        <v>46197</v>
      </c>
      <c r="G1241" s="92">
        <v>26586</v>
      </c>
      <c r="H1241" s="90" t="s">
        <v>9</v>
      </c>
      <c r="I12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41" s="90" t="s">
        <v>10036</v>
      </c>
    </row>
    <row r="1242" spans="1:11">
      <c r="A1242" s="90" t="s">
        <v>10383</v>
      </c>
      <c r="B1242" s="90" t="s">
        <v>10384</v>
      </c>
      <c r="C1242" s="90" t="s">
        <v>16</v>
      </c>
      <c r="D1242" s="90" t="str">
        <f>VLOOKUP(Tabela1[[#This Row],[Origem]],'Perguntas 1 a 24'!$J$28:$K$34,2,FALSE)</f>
        <v>Sudeste</v>
      </c>
      <c r="E1242" s="90" t="s">
        <v>12581</v>
      </c>
      <c r="F1242" s="91">
        <v>46197</v>
      </c>
      <c r="G1242" s="92">
        <v>36792</v>
      </c>
      <c r="H1242" s="90" t="s">
        <v>7</v>
      </c>
      <c r="I12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42" s="90" t="s">
        <v>10384</v>
      </c>
    </row>
    <row r="1243" spans="1:11">
      <c r="A1243" s="90" t="s">
        <v>4704</v>
      </c>
      <c r="B1243" s="90" t="s">
        <v>4705</v>
      </c>
      <c r="C1243" s="90" t="s">
        <v>10</v>
      </c>
      <c r="D1243" s="90" t="str">
        <f>VLOOKUP(Tabela1[[#This Row],[Origem]],'Perguntas 1 a 24'!$J$28:$K$34,2,FALSE)</f>
        <v>Centro-Oeste</v>
      </c>
      <c r="E1243" s="90" t="s">
        <v>12582</v>
      </c>
      <c r="F1243" s="91">
        <v>46198</v>
      </c>
      <c r="G1243" s="92">
        <v>27150</v>
      </c>
      <c r="H1243" s="90" t="s">
        <v>7</v>
      </c>
      <c r="I12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43" s="90" t="s">
        <v>4705</v>
      </c>
    </row>
    <row r="1244" spans="1:11">
      <c r="A1244" s="90" t="s">
        <v>7034</v>
      </c>
      <c r="B1244" s="90" t="s">
        <v>7035</v>
      </c>
      <c r="C1244" s="90" t="s">
        <v>15</v>
      </c>
      <c r="D1244" s="90" t="str">
        <f>VLOOKUP(Tabela1[[#This Row],[Origem]],'Perguntas 1 a 24'!$J$28:$K$34,2,FALSE)</f>
        <v>Sudeste</v>
      </c>
      <c r="E1244" s="90" t="s">
        <v>12583</v>
      </c>
      <c r="F1244" s="91">
        <v>46198</v>
      </c>
      <c r="G1244" s="92">
        <v>59610</v>
      </c>
      <c r="H1244" s="90" t="s">
        <v>11</v>
      </c>
      <c r="I12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44" s="90" t="s">
        <v>7035</v>
      </c>
    </row>
    <row r="1245" spans="1:11">
      <c r="A1245" s="90" t="s">
        <v>9157</v>
      </c>
      <c r="B1245" s="90" t="s">
        <v>9158</v>
      </c>
      <c r="C1245" s="90" t="s">
        <v>8</v>
      </c>
      <c r="D1245" s="90" t="str">
        <f>VLOOKUP(Tabela1[[#This Row],[Origem]],'Perguntas 1 a 24'!$J$28:$K$34,2,FALSE)</f>
        <v>Nordeste</v>
      </c>
      <c r="E1245" s="90" t="s">
        <v>12584</v>
      </c>
      <c r="F1245" s="91">
        <v>46198</v>
      </c>
      <c r="G1245" s="92">
        <v>38122</v>
      </c>
      <c r="H1245" s="90" t="s">
        <v>11</v>
      </c>
      <c r="I12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45" s="90" t="s">
        <v>9158</v>
      </c>
    </row>
    <row r="1246" spans="1:11">
      <c r="A1246" s="90" t="s">
        <v>11259</v>
      </c>
      <c r="B1246" s="90" t="s">
        <v>11260</v>
      </c>
      <c r="C1246" s="90" t="s">
        <v>6</v>
      </c>
      <c r="D1246" s="90" t="str">
        <f>VLOOKUP(Tabela1[[#This Row],[Origem]],'Perguntas 1 a 24'!$J$28:$K$34,2,FALSE)</f>
        <v>Nordeste</v>
      </c>
      <c r="E1246" s="90" t="s">
        <v>12585</v>
      </c>
      <c r="F1246" s="91">
        <v>46198</v>
      </c>
      <c r="G1246" s="92">
        <v>83965</v>
      </c>
      <c r="H1246" s="90" t="s">
        <v>9</v>
      </c>
      <c r="I12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46" s="90" t="s">
        <v>11260</v>
      </c>
    </row>
    <row r="1247" spans="1:11">
      <c r="A1247" s="90" t="s">
        <v>10527</v>
      </c>
      <c r="B1247" s="90" t="s">
        <v>10528</v>
      </c>
      <c r="C1247" s="90" t="s">
        <v>12</v>
      </c>
      <c r="D1247" s="90" t="str">
        <f>VLOOKUP(Tabela1[[#This Row],[Origem]],'Perguntas 1 a 24'!$J$28:$K$34,2,FALSE)</f>
        <v>Sudeste</v>
      </c>
      <c r="E1247" s="90" t="s">
        <v>12586</v>
      </c>
      <c r="F1247" s="91">
        <v>46199</v>
      </c>
      <c r="G1247" s="92">
        <v>112109</v>
      </c>
      <c r="H1247" s="90" t="s">
        <v>7</v>
      </c>
      <c r="I12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47" s="90" t="s">
        <v>10528</v>
      </c>
    </row>
    <row r="1248" spans="1:11">
      <c r="A1248" s="90" t="s">
        <v>6414</v>
      </c>
      <c r="B1248" s="90" t="s">
        <v>6415</v>
      </c>
      <c r="C1248" s="90" t="s">
        <v>10</v>
      </c>
      <c r="D1248" s="90" t="str">
        <f>VLOOKUP(Tabela1[[#This Row],[Origem]],'Perguntas 1 a 24'!$J$28:$K$34,2,FALSE)</f>
        <v>Centro-Oeste</v>
      </c>
      <c r="E1248" s="90" t="s">
        <v>12587</v>
      </c>
      <c r="F1248" s="91">
        <v>46200</v>
      </c>
      <c r="G1248" s="92">
        <v>93764</v>
      </c>
      <c r="H1248" s="90" t="s">
        <v>11</v>
      </c>
      <c r="I12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48" s="90" t="s">
        <v>6415</v>
      </c>
    </row>
    <row r="1249" spans="1:11">
      <c r="A1249" s="90" t="s">
        <v>8120</v>
      </c>
      <c r="B1249" s="90" t="s">
        <v>8121</v>
      </c>
      <c r="C1249" s="90" t="s">
        <v>10</v>
      </c>
      <c r="D1249" s="90" t="str">
        <f>VLOOKUP(Tabela1[[#This Row],[Origem]],'Perguntas 1 a 24'!$J$28:$K$34,2,FALSE)</f>
        <v>Centro-Oeste</v>
      </c>
      <c r="E1249" s="90" t="s">
        <v>12588</v>
      </c>
      <c r="F1249" s="91">
        <v>46200</v>
      </c>
      <c r="G1249" s="92">
        <v>43888</v>
      </c>
      <c r="H1249" s="90" t="s">
        <v>11</v>
      </c>
      <c r="I12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49" s="90" t="s">
        <v>8121</v>
      </c>
    </row>
    <row r="1250" spans="1:11">
      <c r="A1250" s="90" t="s">
        <v>7800</v>
      </c>
      <c r="B1250" s="90" t="s">
        <v>7801</v>
      </c>
      <c r="C1250" s="90" t="s">
        <v>15</v>
      </c>
      <c r="D1250" s="90" t="str">
        <f>VLOOKUP(Tabela1[[#This Row],[Origem]],'Perguntas 1 a 24'!$J$28:$K$34,2,FALSE)</f>
        <v>Sudeste</v>
      </c>
      <c r="E1250" s="90" t="s">
        <v>12589</v>
      </c>
      <c r="F1250" s="91">
        <v>46201</v>
      </c>
      <c r="G1250" s="92">
        <v>58647</v>
      </c>
      <c r="H1250" s="90" t="s">
        <v>11</v>
      </c>
      <c r="I12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50" s="90" t="s">
        <v>7801</v>
      </c>
    </row>
    <row r="1251" spans="1:11">
      <c r="A1251" s="90" t="s">
        <v>7062</v>
      </c>
      <c r="B1251" s="90" t="s">
        <v>7063</v>
      </c>
      <c r="C1251" s="90" t="s">
        <v>13</v>
      </c>
      <c r="D1251" s="90" t="str">
        <f>VLOOKUP(Tabela1[[#This Row],[Origem]],'Perguntas 1 a 24'!$J$28:$K$34,2,FALSE)</f>
        <v>Sudeste</v>
      </c>
      <c r="E1251" s="90" t="s">
        <v>12590</v>
      </c>
      <c r="F1251" s="91">
        <v>46202</v>
      </c>
      <c r="G1251" s="92">
        <v>63753</v>
      </c>
      <c r="H1251" s="90" t="s">
        <v>9</v>
      </c>
      <c r="I12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51" s="90" t="s">
        <v>7063</v>
      </c>
    </row>
    <row r="1252" spans="1:11">
      <c r="A1252" s="90" t="s">
        <v>8152</v>
      </c>
      <c r="B1252" s="90" t="s">
        <v>8153</v>
      </c>
      <c r="C1252" s="90" t="s">
        <v>13</v>
      </c>
      <c r="D1252" s="90" t="str">
        <f>VLOOKUP(Tabela1[[#This Row],[Origem]],'Perguntas 1 a 24'!$J$28:$K$34,2,FALSE)</f>
        <v>Sudeste</v>
      </c>
      <c r="E1252" s="90" t="s">
        <v>12591</v>
      </c>
      <c r="F1252" s="91">
        <v>46202</v>
      </c>
      <c r="G1252" s="92">
        <v>67044</v>
      </c>
      <c r="H1252" s="90" t="s">
        <v>11</v>
      </c>
      <c r="I12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52" s="90" t="s">
        <v>8153</v>
      </c>
    </row>
    <row r="1253" spans="1:11">
      <c r="A1253" s="90" t="s">
        <v>11193</v>
      </c>
      <c r="B1253" s="90" t="s">
        <v>11194</v>
      </c>
      <c r="C1253" s="90" t="s">
        <v>10</v>
      </c>
      <c r="D1253" s="90" t="str">
        <f>VLOOKUP(Tabela1[[#This Row],[Origem]],'Perguntas 1 a 24'!$J$28:$K$34,2,FALSE)</f>
        <v>Centro-Oeste</v>
      </c>
      <c r="E1253" s="90" t="s">
        <v>12592</v>
      </c>
      <c r="F1253" s="91">
        <v>46202</v>
      </c>
      <c r="G1253" s="92">
        <v>47399</v>
      </c>
      <c r="H1253" s="90" t="s">
        <v>11</v>
      </c>
      <c r="I12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53" s="90" t="s">
        <v>11194</v>
      </c>
    </row>
    <row r="1254" spans="1:11">
      <c r="A1254" s="90" t="s">
        <v>5424</v>
      </c>
      <c r="B1254" s="90" t="s">
        <v>5425</v>
      </c>
      <c r="C1254" s="90" t="s">
        <v>15</v>
      </c>
      <c r="D1254" s="90" t="str">
        <f>VLOOKUP(Tabela1[[#This Row],[Origem]],'Perguntas 1 a 24'!$J$28:$K$34,2,FALSE)</f>
        <v>Sudeste</v>
      </c>
      <c r="E1254" s="90" t="s">
        <v>12593</v>
      </c>
      <c r="F1254" s="91">
        <v>46203</v>
      </c>
      <c r="G1254" s="92">
        <v>93577</v>
      </c>
      <c r="H1254" s="90" t="s">
        <v>11</v>
      </c>
      <c r="I12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54" s="90" t="s">
        <v>5425</v>
      </c>
    </row>
    <row r="1255" spans="1:11">
      <c r="A1255" s="90" t="s">
        <v>6100</v>
      </c>
      <c r="B1255" s="90" t="s">
        <v>6101</v>
      </c>
      <c r="C1255" s="90" t="s">
        <v>8</v>
      </c>
      <c r="D1255" s="90" t="str">
        <f>VLOOKUP(Tabela1[[#This Row],[Origem]],'Perguntas 1 a 24'!$J$28:$K$34,2,FALSE)</f>
        <v>Nordeste</v>
      </c>
      <c r="E1255" s="90" t="s">
        <v>12594</v>
      </c>
      <c r="F1255" s="91">
        <v>46203</v>
      </c>
      <c r="G1255" s="92">
        <v>38070</v>
      </c>
      <c r="H1255" s="90" t="s">
        <v>14</v>
      </c>
      <c r="I12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55" s="90" t="s">
        <v>6101</v>
      </c>
    </row>
    <row r="1256" spans="1:11">
      <c r="A1256" s="90" t="s">
        <v>8396</v>
      </c>
      <c r="B1256" s="90" t="s">
        <v>8397</v>
      </c>
      <c r="C1256" s="90" t="s">
        <v>10</v>
      </c>
      <c r="D1256" s="90" t="str">
        <f>VLOOKUP(Tabela1[[#This Row],[Origem]],'Perguntas 1 a 24'!$J$28:$K$34,2,FALSE)</f>
        <v>Centro-Oeste</v>
      </c>
      <c r="E1256" s="90" t="s">
        <v>12595</v>
      </c>
      <c r="F1256" s="91">
        <v>46203</v>
      </c>
      <c r="G1256" s="92">
        <v>73178</v>
      </c>
      <c r="H1256" s="90" t="s">
        <v>7</v>
      </c>
      <c r="I12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56" s="90" t="s">
        <v>8397</v>
      </c>
    </row>
    <row r="1257" spans="1:11">
      <c r="A1257" s="90" t="s">
        <v>5602</v>
      </c>
      <c r="B1257" s="90" t="s">
        <v>5603</v>
      </c>
      <c r="C1257" s="90" t="s">
        <v>6</v>
      </c>
      <c r="D1257" s="90" t="str">
        <f>VLOOKUP(Tabela1[[#This Row],[Origem]],'Perguntas 1 a 24'!$J$28:$K$34,2,FALSE)</f>
        <v>Nordeste</v>
      </c>
      <c r="E1257" s="90" t="s">
        <v>12596</v>
      </c>
      <c r="F1257" s="91">
        <v>46204</v>
      </c>
      <c r="G1257" s="92">
        <v>75315</v>
      </c>
      <c r="H1257" s="90" t="s">
        <v>11</v>
      </c>
      <c r="I12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57" s="90" t="s">
        <v>5603</v>
      </c>
    </row>
    <row r="1258" spans="1:11">
      <c r="A1258" s="90" t="s">
        <v>6820</v>
      </c>
      <c r="B1258" s="90" t="s">
        <v>6821</v>
      </c>
      <c r="C1258" s="90" t="s">
        <v>16</v>
      </c>
      <c r="D1258" s="90" t="str">
        <f>VLOOKUP(Tabela1[[#This Row],[Origem]],'Perguntas 1 a 24'!$J$28:$K$34,2,FALSE)</f>
        <v>Sudeste</v>
      </c>
      <c r="E1258" s="90" t="s">
        <v>12597</v>
      </c>
      <c r="F1258" s="91">
        <v>46204</v>
      </c>
      <c r="G1258" s="92">
        <v>115798</v>
      </c>
      <c r="H1258" s="90" t="s">
        <v>11</v>
      </c>
      <c r="I12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58" s="90" t="s">
        <v>6821</v>
      </c>
    </row>
    <row r="1259" spans="1:11">
      <c r="A1259" s="90" t="s">
        <v>9827</v>
      </c>
      <c r="B1259" s="90" t="s">
        <v>9828</v>
      </c>
      <c r="C1259" s="90" t="s">
        <v>13</v>
      </c>
      <c r="D1259" s="90" t="str">
        <f>VLOOKUP(Tabela1[[#This Row],[Origem]],'Perguntas 1 a 24'!$J$28:$K$34,2,FALSE)</f>
        <v>Sudeste</v>
      </c>
      <c r="E1259" s="90" t="s">
        <v>12598</v>
      </c>
      <c r="F1259" s="91">
        <v>46204</v>
      </c>
      <c r="G1259" s="92">
        <v>52597</v>
      </c>
      <c r="H1259" s="90" t="s">
        <v>14</v>
      </c>
      <c r="I12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59" s="90" t="s">
        <v>9828</v>
      </c>
    </row>
    <row r="1260" spans="1:11">
      <c r="A1260" s="90" t="s">
        <v>9857</v>
      </c>
      <c r="B1260" s="90" t="s">
        <v>9858</v>
      </c>
      <c r="C1260" s="90" t="s">
        <v>13</v>
      </c>
      <c r="D1260" s="90" t="str">
        <f>VLOOKUP(Tabela1[[#This Row],[Origem]],'Perguntas 1 a 24'!$J$28:$K$34,2,FALSE)</f>
        <v>Sudeste</v>
      </c>
      <c r="E1260" s="90" t="s">
        <v>12599</v>
      </c>
      <c r="F1260" s="91">
        <v>46205</v>
      </c>
      <c r="G1260" s="92">
        <v>93437</v>
      </c>
      <c r="H1260" s="90" t="s">
        <v>11</v>
      </c>
      <c r="I12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60" s="90" t="s">
        <v>9858</v>
      </c>
    </row>
    <row r="1261" spans="1:11">
      <c r="A1261" s="90" t="s">
        <v>10113</v>
      </c>
      <c r="B1261" s="90" t="s">
        <v>10114</v>
      </c>
      <c r="C1261" s="90" t="s">
        <v>12</v>
      </c>
      <c r="D1261" s="90" t="str">
        <f>VLOOKUP(Tabela1[[#This Row],[Origem]],'Perguntas 1 a 24'!$J$28:$K$34,2,FALSE)</f>
        <v>Sudeste</v>
      </c>
      <c r="E1261" s="90" t="s">
        <v>12600</v>
      </c>
      <c r="F1261" s="91">
        <v>46205</v>
      </c>
      <c r="G1261" s="92">
        <v>57526</v>
      </c>
      <c r="H1261" s="90" t="s">
        <v>14</v>
      </c>
      <c r="I12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61" s="90" t="s">
        <v>10114</v>
      </c>
    </row>
    <row r="1262" spans="1:11">
      <c r="A1262" s="90" t="s">
        <v>7666</v>
      </c>
      <c r="B1262" s="90" t="s">
        <v>7667</v>
      </c>
      <c r="C1262" s="90" t="s">
        <v>6</v>
      </c>
      <c r="D1262" s="90" t="str">
        <f>VLOOKUP(Tabela1[[#This Row],[Origem]],'Perguntas 1 a 24'!$J$28:$K$34,2,FALSE)</f>
        <v>Nordeste</v>
      </c>
      <c r="E1262" s="90" t="s">
        <v>12601</v>
      </c>
      <c r="F1262" s="91">
        <v>46206</v>
      </c>
      <c r="G1262" s="92">
        <v>66731</v>
      </c>
      <c r="H1262" s="90" t="s">
        <v>9</v>
      </c>
      <c r="I12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62" s="90" t="s">
        <v>7667</v>
      </c>
    </row>
    <row r="1263" spans="1:11">
      <c r="A1263" s="90" t="s">
        <v>10425</v>
      </c>
      <c r="B1263" s="90" t="s">
        <v>10426</v>
      </c>
      <c r="C1263" s="90" t="s">
        <v>10</v>
      </c>
      <c r="D1263" s="90" t="str">
        <f>VLOOKUP(Tabela1[[#This Row],[Origem]],'Perguntas 1 a 24'!$J$28:$K$34,2,FALSE)</f>
        <v>Centro-Oeste</v>
      </c>
      <c r="E1263" s="90" t="s">
        <v>12602</v>
      </c>
      <c r="F1263" s="91">
        <v>46206</v>
      </c>
      <c r="G1263" s="92">
        <v>58353</v>
      </c>
      <c r="H1263" s="90" t="s">
        <v>7</v>
      </c>
      <c r="I12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63" s="90" t="s">
        <v>10426</v>
      </c>
    </row>
    <row r="1264" spans="1:11">
      <c r="A1264" s="90" t="s">
        <v>9473</v>
      </c>
      <c r="B1264" s="90" t="s">
        <v>9474</v>
      </c>
      <c r="C1264" s="90" t="s">
        <v>10</v>
      </c>
      <c r="D1264" s="90" t="str">
        <f>VLOOKUP(Tabela1[[#This Row],[Origem]],'Perguntas 1 a 24'!$J$28:$K$34,2,FALSE)</f>
        <v>Centro-Oeste</v>
      </c>
      <c r="E1264" s="90" t="s">
        <v>12603</v>
      </c>
      <c r="F1264" s="91">
        <v>46207</v>
      </c>
      <c r="G1264" s="92">
        <v>87868</v>
      </c>
      <c r="H1264" s="90" t="s">
        <v>11</v>
      </c>
      <c r="I12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64" s="90" t="s">
        <v>9474</v>
      </c>
    </row>
    <row r="1265" spans="1:11">
      <c r="A1265" s="90" t="s">
        <v>5820</v>
      </c>
      <c r="B1265" s="90" t="s">
        <v>5821</v>
      </c>
      <c r="C1265" s="90" t="s">
        <v>6</v>
      </c>
      <c r="D1265" s="90" t="str">
        <f>VLOOKUP(Tabela1[[#This Row],[Origem]],'Perguntas 1 a 24'!$J$28:$K$34,2,FALSE)</f>
        <v>Nordeste</v>
      </c>
      <c r="E1265" s="90" t="s">
        <v>12604</v>
      </c>
      <c r="F1265" s="91">
        <v>46208</v>
      </c>
      <c r="G1265" s="92">
        <v>46294</v>
      </c>
      <c r="H1265" s="90" t="s">
        <v>9</v>
      </c>
      <c r="I12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65" s="90" t="s">
        <v>5821</v>
      </c>
    </row>
    <row r="1266" spans="1:11">
      <c r="A1266" s="90" t="s">
        <v>8631</v>
      </c>
      <c r="B1266" s="90" t="s">
        <v>8632</v>
      </c>
      <c r="C1266" s="90" t="s">
        <v>13</v>
      </c>
      <c r="D1266" s="90" t="str">
        <f>VLOOKUP(Tabela1[[#This Row],[Origem]],'Perguntas 1 a 24'!$J$28:$K$34,2,FALSE)</f>
        <v>Sudeste</v>
      </c>
      <c r="E1266" s="90" t="s">
        <v>12605</v>
      </c>
      <c r="F1266" s="91">
        <v>46208</v>
      </c>
      <c r="G1266" s="92">
        <v>68353</v>
      </c>
      <c r="H1266" s="90" t="s">
        <v>14</v>
      </c>
      <c r="I12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66" s="90" t="s">
        <v>8632</v>
      </c>
    </row>
    <row r="1267" spans="1:11">
      <c r="A1267" s="90" t="s">
        <v>8899</v>
      </c>
      <c r="B1267" s="90" t="s">
        <v>8900</v>
      </c>
      <c r="C1267" s="90" t="s">
        <v>15</v>
      </c>
      <c r="D1267" s="90" t="str">
        <f>VLOOKUP(Tabela1[[#This Row],[Origem]],'Perguntas 1 a 24'!$J$28:$K$34,2,FALSE)</f>
        <v>Sudeste</v>
      </c>
      <c r="E1267" s="90" t="s">
        <v>12606</v>
      </c>
      <c r="F1267" s="91">
        <v>46208</v>
      </c>
      <c r="G1267" s="92">
        <v>31464</v>
      </c>
      <c r="H1267" s="90" t="s">
        <v>9</v>
      </c>
      <c r="I12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67" s="90" t="s">
        <v>8900</v>
      </c>
    </row>
    <row r="1268" spans="1:11">
      <c r="A1268" s="90" t="s">
        <v>10293</v>
      </c>
      <c r="B1268" s="90" t="s">
        <v>10294</v>
      </c>
      <c r="C1268" s="90" t="s">
        <v>16</v>
      </c>
      <c r="D1268" s="90" t="str">
        <f>VLOOKUP(Tabela1[[#This Row],[Origem]],'Perguntas 1 a 24'!$J$28:$K$34,2,FALSE)</f>
        <v>Sudeste</v>
      </c>
      <c r="E1268" s="90" t="s">
        <v>12607</v>
      </c>
      <c r="F1268" s="91">
        <v>46208</v>
      </c>
      <c r="G1268" s="92">
        <v>72053</v>
      </c>
      <c r="H1268" s="90" t="s">
        <v>14</v>
      </c>
      <c r="I12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68" s="90" t="s">
        <v>10294</v>
      </c>
    </row>
    <row r="1269" spans="1:11">
      <c r="A1269" s="90" t="s">
        <v>4475</v>
      </c>
      <c r="B1269" s="90" t="s">
        <v>4476</v>
      </c>
      <c r="C1269" s="90" t="s">
        <v>15</v>
      </c>
      <c r="D1269" s="90" t="str">
        <f>VLOOKUP(Tabela1[[#This Row],[Origem]],'Perguntas 1 a 24'!$J$28:$K$34,2,FALSE)</f>
        <v>Sudeste</v>
      </c>
      <c r="E1269" s="90" t="s">
        <v>12608</v>
      </c>
      <c r="F1269" s="91">
        <v>46209</v>
      </c>
      <c r="G1269" s="92">
        <v>41190</v>
      </c>
      <c r="H1269" s="90" t="s">
        <v>14</v>
      </c>
      <c r="I12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69" s="90" t="s">
        <v>4476</v>
      </c>
    </row>
    <row r="1270" spans="1:11">
      <c r="A1270" s="90" t="s">
        <v>4672</v>
      </c>
      <c r="B1270" s="90" t="s">
        <v>4673</v>
      </c>
      <c r="C1270" s="90" t="s">
        <v>12</v>
      </c>
      <c r="D1270" s="90" t="str">
        <f>VLOOKUP(Tabela1[[#This Row],[Origem]],'Perguntas 1 a 24'!$J$28:$K$34,2,FALSE)</f>
        <v>Sudeste</v>
      </c>
      <c r="E1270" s="90" t="s">
        <v>12609</v>
      </c>
      <c r="F1270" s="91">
        <v>46209</v>
      </c>
      <c r="G1270" s="92">
        <v>32099</v>
      </c>
      <c r="H1270" s="90" t="s">
        <v>9</v>
      </c>
      <c r="I12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70" s="90" t="s">
        <v>4673</v>
      </c>
    </row>
    <row r="1271" spans="1:11">
      <c r="A1271" s="90" t="s">
        <v>7856</v>
      </c>
      <c r="B1271" s="90" t="s">
        <v>7857</v>
      </c>
      <c r="C1271" s="90" t="s">
        <v>13</v>
      </c>
      <c r="D1271" s="90" t="str">
        <f>VLOOKUP(Tabela1[[#This Row],[Origem]],'Perguntas 1 a 24'!$J$28:$K$34,2,FALSE)</f>
        <v>Sudeste</v>
      </c>
      <c r="E1271" s="90" t="s">
        <v>12610</v>
      </c>
      <c r="F1271" s="91">
        <v>46209</v>
      </c>
      <c r="G1271" s="92">
        <v>97726</v>
      </c>
      <c r="H1271" s="90" t="s">
        <v>14</v>
      </c>
      <c r="I12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71" s="90" t="s">
        <v>7857</v>
      </c>
    </row>
    <row r="1272" spans="1:11">
      <c r="A1272" s="90" t="s">
        <v>10681</v>
      </c>
      <c r="B1272" s="90" t="s">
        <v>10682</v>
      </c>
      <c r="C1272" s="90" t="s">
        <v>12</v>
      </c>
      <c r="D1272" s="90" t="str">
        <f>VLOOKUP(Tabela1[[#This Row],[Origem]],'Perguntas 1 a 24'!$J$28:$K$34,2,FALSE)</f>
        <v>Sudeste</v>
      </c>
      <c r="E1272" s="90" t="s">
        <v>12611</v>
      </c>
      <c r="F1272" s="91">
        <v>46209</v>
      </c>
      <c r="G1272" s="92">
        <v>46707</v>
      </c>
      <c r="H1272" s="90" t="s">
        <v>14</v>
      </c>
      <c r="I12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72" s="90" t="s">
        <v>10682</v>
      </c>
    </row>
    <row r="1273" spans="1:11">
      <c r="A1273" s="90" t="s">
        <v>3812</v>
      </c>
      <c r="B1273" s="90" t="s">
        <v>3813</v>
      </c>
      <c r="C1273" s="90" t="s">
        <v>8</v>
      </c>
      <c r="D1273" s="90" t="str">
        <f>VLOOKUP(Tabela1[[#This Row],[Origem]],'Perguntas 1 a 24'!$J$28:$K$34,2,FALSE)</f>
        <v>Nordeste</v>
      </c>
      <c r="E1273" s="90" t="s">
        <v>12612</v>
      </c>
      <c r="F1273" s="91">
        <v>46210</v>
      </c>
      <c r="G1273" s="92">
        <v>65573</v>
      </c>
      <c r="H1273" s="90" t="s">
        <v>7</v>
      </c>
      <c r="I12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73" s="90" t="s">
        <v>3813</v>
      </c>
    </row>
    <row r="1274" spans="1:11">
      <c r="A1274" s="90" t="s">
        <v>9791</v>
      </c>
      <c r="B1274" s="90" t="s">
        <v>9792</v>
      </c>
      <c r="C1274" s="90" t="s">
        <v>16</v>
      </c>
      <c r="D1274" s="90" t="str">
        <f>VLOOKUP(Tabela1[[#This Row],[Origem]],'Perguntas 1 a 24'!$J$28:$K$34,2,FALSE)</f>
        <v>Sudeste</v>
      </c>
      <c r="E1274" s="90" t="s">
        <v>12613</v>
      </c>
      <c r="F1274" s="91">
        <v>46210</v>
      </c>
      <c r="G1274" s="92">
        <v>78589</v>
      </c>
      <c r="H1274" s="90" t="s">
        <v>14</v>
      </c>
      <c r="I12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74" s="90" t="s">
        <v>9792</v>
      </c>
    </row>
    <row r="1275" spans="1:11">
      <c r="A1275" s="90" t="s">
        <v>6988</v>
      </c>
      <c r="B1275" s="90" t="s">
        <v>6989</v>
      </c>
      <c r="C1275" s="90" t="s">
        <v>15</v>
      </c>
      <c r="D1275" s="90" t="str">
        <f>VLOOKUP(Tabela1[[#This Row],[Origem]],'Perguntas 1 a 24'!$J$28:$K$34,2,FALSE)</f>
        <v>Sudeste</v>
      </c>
      <c r="E1275" s="90" t="s">
        <v>12614</v>
      </c>
      <c r="F1275" s="91">
        <v>46211</v>
      </c>
      <c r="G1275" s="92">
        <v>52981</v>
      </c>
      <c r="H1275" s="90" t="s">
        <v>7</v>
      </c>
      <c r="I12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75" s="90" t="s">
        <v>6989</v>
      </c>
    </row>
    <row r="1276" spans="1:11">
      <c r="A1276" s="90" t="s">
        <v>8090</v>
      </c>
      <c r="B1276" s="90" t="s">
        <v>8091</v>
      </c>
      <c r="C1276" s="90" t="s">
        <v>8</v>
      </c>
      <c r="D1276" s="90" t="str">
        <f>VLOOKUP(Tabela1[[#This Row],[Origem]],'Perguntas 1 a 24'!$J$28:$K$34,2,FALSE)</f>
        <v>Nordeste</v>
      </c>
      <c r="E1276" s="90" t="s">
        <v>12615</v>
      </c>
      <c r="F1276" s="91">
        <v>46211</v>
      </c>
      <c r="G1276" s="92">
        <v>63334</v>
      </c>
      <c r="H1276" s="90" t="s">
        <v>9</v>
      </c>
      <c r="I12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76" s="90" t="s">
        <v>8091</v>
      </c>
    </row>
    <row r="1277" spans="1:11">
      <c r="A1277" s="90" t="s">
        <v>4375</v>
      </c>
      <c r="B1277" s="90" t="s">
        <v>4376</v>
      </c>
      <c r="C1277" s="90" t="s">
        <v>13</v>
      </c>
      <c r="D1277" s="90" t="str">
        <f>VLOOKUP(Tabela1[[#This Row],[Origem]],'Perguntas 1 a 24'!$J$28:$K$34,2,FALSE)</f>
        <v>Sudeste</v>
      </c>
      <c r="E1277" s="90" t="s">
        <v>12616</v>
      </c>
      <c r="F1277" s="91">
        <v>46212</v>
      </c>
      <c r="G1277" s="92">
        <v>67174</v>
      </c>
      <c r="H1277" s="90" t="s">
        <v>9</v>
      </c>
      <c r="I12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77" s="90" t="s">
        <v>4376</v>
      </c>
    </row>
    <row r="1278" spans="1:11">
      <c r="A1278" s="90" t="s">
        <v>4498</v>
      </c>
      <c r="B1278" s="90" t="s">
        <v>4499</v>
      </c>
      <c r="C1278" s="90" t="s">
        <v>12</v>
      </c>
      <c r="D1278" s="90" t="str">
        <f>VLOOKUP(Tabela1[[#This Row],[Origem]],'Perguntas 1 a 24'!$J$28:$K$34,2,FALSE)</f>
        <v>Sudeste</v>
      </c>
      <c r="E1278" s="90" t="s">
        <v>12617</v>
      </c>
      <c r="F1278" s="91">
        <v>46212</v>
      </c>
      <c r="G1278" s="92">
        <v>55168</v>
      </c>
      <c r="H1278" s="90" t="s">
        <v>7</v>
      </c>
      <c r="I12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78" s="90" t="s">
        <v>4499</v>
      </c>
    </row>
    <row r="1279" spans="1:11">
      <c r="A1279" s="90" t="s">
        <v>5054</v>
      </c>
      <c r="B1279" s="90" t="s">
        <v>5055</v>
      </c>
      <c r="C1279" s="90" t="s">
        <v>10</v>
      </c>
      <c r="D1279" s="90" t="str">
        <f>VLOOKUP(Tabela1[[#This Row],[Origem]],'Perguntas 1 a 24'!$J$28:$K$34,2,FALSE)</f>
        <v>Centro-Oeste</v>
      </c>
      <c r="E1279" s="90" t="s">
        <v>12618</v>
      </c>
      <c r="F1279" s="91">
        <v>46212</v>
      </c>
      <c r="G1279" s="92">
        <v>111836</v>
      </c>
      <c r="H1279" s="90" t="s">
        <v>14</v>
      </c>
      <c r="I12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79" s="90" t="s">
        <v>5055</v>
      </c>
    </row>
    <row r="1280" spans="1:11">
      <c r="A1280" s="90" t="s">
        <v>6428</v>
      </c>
      <c r="B1280" s="90" t="s">
        <v>6429</v>
      </c>
      <c r="C1280" s="90" t="s">
        <v>10</v>
      </c>
      <c r="D1280" s="90" t="str">
        <f>VLOOKUP(Tabela1[[#This Row],[Origem]],'Perguntas 1 a 24'!$J$28:$K$34,2,FALSE)</f>
        <v>Centro-Oeste</v>
      </c>
      <c r="E1280" s="90" t="s">
        <v>12619</v>
      </c>
      <c r="F1280" s="91">
        <v>46212</v>
      </c>
      <c r="G1280" s="92">
        <v>62928</v>
      </c>
      <c r="H1280" s="90" t="s">
        <v>9</v>
      </c>
      <c r="I12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80" s="90" t="s">
        <v>6429</v>
      </c>
    </row>
    <row r="1281" spans="1:11">
      <c r="A1281" s="90" t="s">
        <v>6594</v>
      </c>
      <c r="B1281" s="90" t="s">
        <v>6595</v>
      </c>
      <c r="C1281" s="90" t="s">
        <v>13</v>
      </c>
      <c r="D1281" s="90" t="str">
        <f>VLOOKUP(Tabela1[[#This Row],[Origem]],'Perguntas 1 a 24'!$J$28:$K$34,2,FALSE)</f>
        <v>Sudeste</v>
      </c>
      <c r="E1281" s="90" t="s">
        <v>12620</v>
      </c>
      <c r="F1281" s="91">
        <v>46212</v>
      </c>
      <c r="G1281" s="92">
        <v>20481</v>
      </c>
      <c r="H1281" s="90" t="s">
        <v>14</v>
      </c>
      <c r="I12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81" s="90" t="s">
        <v>6595</v>
      </c>
    </row>
    <row r="1282" spans="1:11">
      <c r="A1282" s="90" t="s">
        <v>7354</v>
      </c>
      <c r="B1282" s="90" t="s">
        <v>7355</v>
      </c>
      <c r="C1282" s="90" t="s">
        <v>13</v>
      </c>
      <c r="D1282" s="90" t="str">
        <f>VLOOKUP(Tabela1[[#This Row],[Origem]],'Perguntas 1 a 24'!$J$28:$K$34,2,FALSE)</f>
        <v>Sudeste</v>
      </c>
      <c r="E1282" s="90" t="s">
        <v>12621</v>
      </c>
      <c r="F1282" s="91">
        <v>46212</v>
      </c>
      <c r="G1282" s="92">
        <v>57018</v>
      </c>
      <c r="H1282" s="90" t="s">
        <v>9</v>
      </c>
      <c r="I12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82" s="90" t="s">
        <v>7355</v>
      </c>
    </row>
    <row r="1283" spans="1:11">
      <c r="A1283" s="90" t="s">
        <v>8799</v>
      </c>
      <c r="B1283" s="90" t="s">
        <v>8800</v>
      </c>
      <c r="C1283" s="90" t="s">
        <v>12</v>
      </c>
      <c r="D1283" s="90" t="str">
        <f>VLOOKUP(Tabela1[[#This Row],[Origem]],'Perguntas 1 a 24'!$J$28:$K$34,2,FALSE)</f>
        <v>Sudeste</v>
      </c>
      <c r="E1283" s="90" t="s">
        <v>12622</v>
      </c>
      <c r="F1283" s="91">
        <v>46213</v>
      </c>
      <c r="G1283" s="92">
        <v>33407</v>
      </c>
      <c r="H1283" s="90" t="s">
        <v>11</v>
      </c>
      <c r="I12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83" s="90" t="s">
        <v>8800</v>
      </c>
    </row>
    <row r="1284" spans="1:11">
      <c r="A1284" s="90" t="s">
        <v>10915</v>
      </c>
      <c r="B1284" s="90" t="s">
        <v>10916</v>
      </c>
      <c r="C1284" s="90" t="s">
        <v>8</v>
      </c>
      <c r="D1284" s="90" t="str">
        <f>VLOOKUP(Tabela1[[#This Row],[Origem]],'Perguntas 1 a 24'!$J$28:$K$34,2,FALSE)</f>
        <v>Nordeste</v>
      </c>
      <c r="E1284" s="90" t="s">
        <v>12623</v>
      </c>
      <c r="F1284" s="91">
        <v>46213</v>
      </c>
      <c r="G1284" s="92">
        <v>72532</v>
      </c>
      <c r="H1284" s="90" t="s">
        <v>11</v>
      </c>
      <c r="I12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84" s="90" t="s">
        <v>10916</v>
      </c>
    </row>
    <row r="1285" spans="1:11">
      <c r="A1285" s="90" t="s">
        <v>6436</v>
      </c>
      <c r="B1285" s="90" t="s">
        <v>6437</v>
      </c>
      <c r="C1285" s="90" t="s">
        <v>8</v>
      </c>
      <c r="D1285" s="90" t="str">
        <f>VLOOKUP(Tabela1[[#This Row],[Origem]],'Perguntas 1 a 24'!$J$28:$K$34,2,FALSE)</f>
        <v>Nordeste</v>
      </c>
      <c r="E1285" s="90" t="s">
        <v>12624</v>
      </c>
      <c r="F1285" s="91">
        <v>46214</v>
      </c>
      <c r="G1285" s="92">
        <v>64381</v>
      </c>
      <c r="H1285" s="90" t="s">
        <v>9</v>
      </c>
      <c r="I12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85" s="90" t="s">
        <v>6437</v>
      </c>
    </row>
    <row r="1286" spans="1:11">
      <c r="A1286" s="90" t="s">
        <v>6536</v>
      </c>
      <c r="B1286" s="90" t="s">
        <v>6537</v>
      </c>
      <c r="C1286" s="90" t="s">
        <v>15</v>
      </c>
      <c r="D1286" s="90" t="str">
        <f>VLOOKUP(Tabela1[[#This Row],[Origem]],'Perguntas 1 a 24'!$J$28:$K$34,2,FALSE)</f>
        <v>Sudeste</v>
      </c>
      <c r="E1286" s="90" t="s">
        <v>12625</v>
      </c>
      <c r="F1286" s="91">
        <v>46215</v>
      </c>
      <c r="G1286" s="92">
        <v>91219</v>
      </c>
      <c r="H1286" s="90" t="s">
        <v>11</v>
      </c>
      <c r="I12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86" s="90" t="s">
        <v>6537</v>
      </c>
    </row>
    <row r="1287" spans="1:11">
      <c r="A1287" s="90" t="s">
        <v>6568</v>
      </c>
      <c r="B1287" s="90" t="s">
        <v>6569</v>
      </c>
      <c r="C1287" s="90" t="s">
        <v>16</v>
      </c>
      <c r="D1287" s="90" t="str">
        <f>VLOOKUP(Tabela1[[#This Row],[Origem]],'Perguntas 1 a 24'!$J$28:$K$34,2,FALSE)</f>
        <v>Sudeste</v>
      </c>
      <c r="E1287" s="90" t="s">
        <v>12626</v>
      </c>
      <c r="F1287" s="91">
        <v>46215</v>
      </c>
      <c r="G1287" s="92">
        <v>24492</v>
      </c>
      <c r="H1287" s="90" t="s">
        <v>11</v>
      </c>
      <c r="I12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87" s="90" t="s">
        <v>6569</v>
      </c>
    </row>
    <row r="1288" spans="1:11">
      <c r="A1288" s="90" t="s">
        <v>7502</v>
      </c>
      <c r="B1288" s="90" t="s">
        <v>7503</v>
      </c>
      <c r="C1288" s="90" t="s">
        <v>6</v>
      </c>
      <c r="D1288" s="90" t="str">
        <f>VLOOKUP(Tabela1[[#This Row],[Origem]],'Perguntas 1 a 24'!$J$28:$K$34,2,FALSE)</f>
        <v>Nordeste</v>
      </c>
      <c r="E1288" s="90" t="s">
        <v>12627</v>
      </c>
      <c r="F1288" s="91">
        <v>46215</v>
      </c>
      <c r="G1288" s="92">
        <v>27351</v>
      </c>
      <c r="H1288" s="90" t="s">
        <v>7</v>
      </c>
      <c r="I12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88" s="90" t="s">
        <v>7503</v>
      </c>
    </row>
    <row r="1289" spans="1:11">
      <c r="A1289" s="90" t="s">
        <v>5276</v>
      </c>
      <c r="B1289" s="90" t="s">
        <v>5277</v>
      </c>
      <c r="C1289" s="90" t="s">
        <v>10</v>
      </c>
      <c r="D1289" s="90" t="str">
        <f>VLOOKUP(Tabela1[[#This Row],[Origem]],'Perguntas 1 a 24'!$J$28:$K$34,2,FALSE)</f>
        <v>Centro-Oeste</v>
      </c>
      <c r="E1289" s="90" t="s">
        <v>12628</v>
      </c>
      <c r="F1289" s="91">
        <v>46216</v>
      </c>
      <c r="G1289" s="92">
        <v>78785</v>
      </c>
      <c r="H1289" s="90" t="s">
        <v>14</v>
      </c>
      <c r="I12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89" s="90" t="s">
        <v>5277</v>
      </c>
    </row>
    <row r="1290" spans="1:11">
      <c r="A1290" s="90" t="s">
        <v>7754</v>
      </c>
      <c r="B1290" s="90" t="s">
        <v>7755</v>
      </c>
      <c r="C1290" s="90" t="s">
        <v>6</v>
      </c>
      <c r="D1290" s="90" t="str">
        <f>VLOOKUP(Tabela1[[#This Row],[Origem]],'Perguntas 1 a 24'!$J$28:$K$34,2,FALSE)</f>
        <v>Nordeste</v>
      </c>
      <c r="E1290" s="90" t="s">
        <v>12629</v>
      </c>
      <c r="F1290" s="91">
        <v>46218</v>
      </c>
      <c r="G1290" s="92">
        <v>111087</v>
      </c>
      <c r="H1290" s="90" t="s">
        <v>14</v>
      </c>
      <c r="I12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90" s="90" t="s">
        <v>7755</v>
      </c>
    </row>
    <row r="1291" spans="1:11">
      <c r="A1291" s="90" t="s">
        <v>8611</v>
      </c>
      <c r="B1291" s="90" t="s">
        <v>8612</v>
      </c>
      <c r="C1291" s="90" t="s">
        <v>6</v>
      </c>
      <c r="D1291" s="90" t="str">
        <f>VLOOKUP(Tabela1[[#This Row],[Origem]],'Perguntas 1 a 24'!$J$28:$K$34,2,FALSE)</f>
        <v>Nordeste</v>
      </c>
      <c r="E1291" s="90" t="s">
        <v>12630</v>
      </c>
      <c r="F1291" s="91">
        <v>46218</v>
      </c>
      <c r="G1291" s="92">
        <v>41651</v>
      </c>
      <c r="H1291" s="90" t="s">
        <v>7</v>
      </c>
      <c r="I12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91" s="90" t="s">
        <v>8612</v>
      </c>
    </row>
    <row r="1292" spans="1:11">
      <c r="A1292" s="90" t="s">
        <v>5782</v>
      </c>
      <c r="B1292" s="90" t="s">
        <v>5783</v>
      </c>
      <c r="C1292" s="90" t="s">
        <v>6</v>
      </c>
      <c r="D1292" s="90" t="str">
        <f>VLOOKUP(Tabela1[[#This Row],[Origem]],'Perguntas 1 a 24'!$J$28:$K$34,2,FALSE)</f>
        <v>Nordeste</v>
      </c>
      <c r="E1292" s="90" t="s">
        <v>12631</v>
      </c>
      <c r="F1292" s="91">
        <v>46219</v>
      </c>
      <c r="G1292" s="92">
        <v>99829</v>
      </c>
      <c r="H1292" s="90" t="s">
        <v>11</v>
      </c>
      <c r="I12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92" s="90" t="s">
        <v>5783</v>
      </c>
    </row>
    <row r="1293" spans="1:11">
      <c r="A1293" s="90" t="s">
        <v>8665</v>
      </c>
      <c r="B1293" s="90" t="s">
        <v>8666</v>
      </c>
      <c r="C1293" s="90" t="s">
        <v>6</v>
      </c>
      <c r="D1293" s="90" t="str">
        <f>VLOOKUP(Tabela1[[#This Row],[Origem]],'Perguntas 1 a 24'!$J$28:$K$34,2,FALSE)</f>
        <v>Nordeste</v>
      </c>
      <c r="E1293" s="90" t="s">
        <v>12632</v>
      </c>
      <c r="F1293" s="91">
        <v>46219</v>
      </c>
      <c r="G1293" s="92">
        <v>85043</v>
      </c>
      <c r="H1293" s="90" t="s">
        <v>9</v>
      </c>
      <c r="I12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93" s="90" t="s">
        <v>8666</v>
      </c>
    </row>
    <row r="1294" spans="1:11">
      <c r="A1294" s="90" t="s">
        <v>5690</v>
      </c>
      <c r="B1294" s="90" t="s">
        <v>5691</v>
      </c>
      <c r="C1294" s="90" t="s">
        <v>13</v>
      </c>
      <c r="D1294" s="90" t="str">
        <f>VLOOKUP(Tabela1[[#This Row],[Origem]],'Perguntas 1 a 24'!$J$28:$K$34,2,FALSE)</f>
        <v>Sudeste</v>
      </c>
      <c r="E1294" s="90" t="s">
        <v>12633</v>
      </c>
      <c r="F1294" s="91">
        <v>46220</v>
      </c>
      <c r="G1294" s="92">
        <v>57605</v>
      </c>
      <c r="H1294" s="90" t="s">
        <v>9</v>
      </c>
      <c r="I12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94" s="90" t="s">
        <v>5691</v>
      </c>
    </row>
    <row r="1295" spans="1:11">
      <c r="A1295" s="90" t="s">
        <v>10373</v>
      </c>
      <c r="B1295" s="90" t="s">
        <v>10374</v>
      </c>
      <c r="C1295" s="90" t="s">
        <v>13</v>
      </c>
      <c r="D1295" s="90" t="str">
        <f>VLOOKUP(Tabela1[[#This Row],[Origem]],'Perguntas 1 a 24'!$J$28:$K$34,2,FALSE)</f>
        <v>Sudeste</v>
      </c>
      <c r="E1295" s="90" t="s">
        <v>12634</v>
      </c>
      <c r="F1295" s="91">
        <v>46220</v>
      </c>
      <c r="G1295" s="92">
        <v>58979</v>
      </c>
      <c r="H1295" s="90" t="s">
        <v>11</v>
      </c>
      <c r="I12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95" s="90" t="s">
        <v>10374</v>
      </c>
    </row>
    <row r="1296" spans="1:11">
      <c r="A1296" s="90" t="s">
        <v>7164</v>
      </c>
      <c r="B1296" s="90" t="s">
        <v>7165</v>
      </c>
      <c r="C1296" s="90" t="s">
        <v>10</v>
      </c>
      <c r="D1296" s="90" t="str">
        <f>VLOOKUP(Tabela1[[#This Row],[Origem]],'Perguntas 1 a 24'!$J$28:$K$34,2,FALSE)</f>
        <v>Centro-Oeste</v>
      </c>
      <c r="E1296" s="90" t="s">
        <v>12635</v>
      </c>
      <c r="F1296" s="91">
        <v>46221</v>
      </c>
      <c r="G1296" s="92">
        <v>49124</v>
      </c>
      <c r="H1296" s="90" t="s">
        <v>11</v>
      </c>
      <c r="I12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296" s="90" t="s">
        <v>7165</v>
      </c>
    </row>
    <row r="1297" spans="1:11">
      <c r="A1297" s="90" t="s">
        <v>5644</v>
      </c>
      <c r="B1297" s="90" t="s">
        <v>5645</v>
      </c>
      <c r="C1297" s="90" t="s">
        <v>16</v>
      </c>
      <c r="D1297" s="90" t="str">
        <f>VLOOKUP(Tabela1[[#This Row],[Origem]],'Perguntas 1 a 24'!$J$28:$K$34,2,FALSE)</f>
        <v>Sudeste</v>
      </c>
      <c r="E1297" s="90" t="s">
        <v>12636</v>
      </c>
      <c r="F1297" s="91">
        <v>46225</v>
      </c>
      <c r="G1297" s="92">
        <v>83731</v>
      </c>
      <c r="H1297" s="90" t="s">
        <v>14</v>
      </c>
      <c r="I12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97" s="90" t="s">
        <v>5645</v>
      </c>
    </row>
    <row r="1298" spans="1:11">
      <c r="A1298" s="90" t="s">
        <v>6294</v>
      </c>
      <c r="B1298" s="90" t="s">
        <v>6295</v>
      </c>
      <c r="C1298" s="90" t="s">
        <v>6</v>
      </c>
      <c r="D1298" s="90" t="str">
        <f>VLOOKUP(Tabela1[[#This Row],[Origem]],'Perguntas 1 a 24'!$J$28:$K$34,2,FALSE)</f>
        <v>Nordeste</v>
      </c>
      <c r="E1298" s="90" t="s">
        <v>12637</v>
      </c>
      <c r="F1298" s="91">
        <v>46225</v>
      </c>
      <c r="G1298" s="92">
        <v>61063</v>
      </c>
      <c r="H1298" s="90" t="s">
        <v>14</v>
      </c>
      <c r="I12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98" s="90" t="s">
        <v>6295</v>
      </c>
    </row>
    <row r="1299" spans="1:11">
      <c r="A1299" s="90" t="s">
        <v>8202</v>
      </c>
      <c r="B1299" s="90" t="s">
        <v>8203</v>
      </c>
      <c r="C1299" s="90" t="s">
        <v>12</v>
      </c>
      <c r="D1299" s="90" t="str">
        <f>VLOOKUP(Tabela1[[#This Row],[Origem]],'Perguntas 1 a 24'!$J$28:$K$34,2,FALSE)</f>
        <v>Sudeste</v>
      </c>
      <c r="E1299" s="90" t="s">
        <v>12638</v>
      </c>
      <c r="F1299" s="91">
        <v>46226</v>
      </c>
      <c r="G1299" s="92">
        <v>57142</v>
      </c>
      <c r="H1299" s="90" t="s">
        <v>14</v>
      </c>
      <c r="I12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299" s="90" t="s">
        <v>8203</v>
      </c>
    </row>
    <row r="1300" spans="1:11">
      <c r="A1300" s="90" t="s">
        <v>9731</v>
      </c>
      <c r="B1300" s="90" t="s">
        <v>9732</v>
      </c>
      <c r="C1300" s="90" t="s">
        <v>13</v>
      </c>
      <c r="D1300" s="90" t="str">
        <f>VLOOKUP(Tabela1[[#This Row],[Origem]],'Perguntas 1 a 24'!$J$28:$K$34,2,FALSE)</f>
        <v>Sudeste</v>
      </c>
      <c r="E1300" s="90" t="s">
        <v>12639</v>
      </c>
      <c r="F1300" s="91">
        <v>46226</v>
      </c>
      <c r="G1300" s="92">
        <v>105763</v>
      </c>
      <c r="H1300" s="90" t="s">
        <v>9</v>
      </c>
      <c r="I13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00" s="90" t="s">
        <v>9732</v>
      </c>
    </row>
    <row r="1301" spans="1:11">
      <c r="A1301" s="90" t="s">
        <v>8308</v>
      </c>
      <c r="B1301" s="90" t="s">
        <v>8309</v>
      </c>
      <c r="C1301" s="90" t="s">
        <v>8</v>
      </c>
      <c r="D1301" s="90" t="str">
        <f>VLOOKUP(Tabela1[[#This Row],[Origem]],'Perguntas 1 a 24'!$J$28:$K$34,2,FALSE)</f>
        <v>Nordeste</v>
      </c>
      <c r="E1301" s="90" t="s">
        <v>12640</v>
      </c>
      <c r="F1301" s="91">
        <v>46227</v>
      </c>
      <c r="G1301" s="92">
        <v>107522</v>
      </c>
      <c r="H1301" s="90" t="s">
        <v>11</v>
      </c>
      <c r="I13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01" s="90" t="s">
        <v>8309</v>
      </c>
    </row>
    <row r="1302" spans="1:11">
      <c r="A1302" s="90" t="s">
        <v>10495</v>
      </c>
      <c r="B1302" s="90" t="s">
        <v>10496</v>
      </c>
      <c r="C1302" s="90" t="s">
        <v>10</v>
      </c>
      <c r="D1302" s="90" t="str">
        <f>VLOOKUP(Tabela1[[#This Row],[Origem]],'Perguntas 1 a 24'!$J$28:$K$34,2,FALSE)</f>
        <v>Centro-Oeste</v>
      </c>
      <c r="E1302" s="90" t="s">
        <v>12641</v>
      </c>
      <c r="F1302" s="91">
        <v>46227</v>
      </c>
      <c r="G1302" s="92">
        <v>22604</v>
      </c>
      <c r="H1302" s="90" t="s">
        <v>14</v>
      </c>
      <c r="I13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02" s="90" t="s">
        <v>10496</v>
      </c>
    </row>
    <row r="1303" spans="1:11">
      <c r="A1303" s="90" t="s">
        <v>8404</v>
      </c>
      <c r="B1303" s="90" t="s">
        <v>8405</v>
      </c>
      <c r="C1303" s="90" t="s">
        <v>10</v>
      </c>
      <c r="D1303" s="90" t="str">
        <f>VLOOKUP(Tabela1[[#This Row],[Origem]],'Perguntas 1 a 24'!$J$28:$K$34,2,FALSE)</f>
        <v>Centro-Oeste</v>
      </c>
      <c r="E1303" s="90" t="s">
        <v>12642</v>
      </c>
      <c r="F1303" s="91">
        <v>46228</v>
      </c>
      <c r="G1303" s="92">
        <v>46137</v>
      </c>
      <c r="H1303" s="90" t="s">
        <v>14</v>
      </c>
      <c r="I13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03" s="90" t="s">
        <v>8405</v>
      </c>
    </row>
    <row r="1304" spans="1:11">
      <c r="A1304" s="90" t="s">
        <v>11197</v>
      </c>
      <c r="B1304" s="90" t="s">
        <v>11198</v>
      </c>
      <c r="C1304" s="90" t="s">
        <v>15</v>
      </c>
      <c r="D1304" s="90" t="str">
        <f>VLOOKUP(Tabela1[[#This Row],[Origem]],'Perguntas 1 a 24'!$J$28:$K$34,2,FALSE)</f>
        <v>Sudeste</v>
      </c>
      <c r="E1304" s="90" t="s">
        <v>12643</v>
      </c>
      <c r="F1304" s="91">
        <v>46229</v>
      </c>
      <c r="G1304" s="92">
        <v>62356</v>
      </c>
      <c r="H1304" s="90" t="s">
        <v>11</v>
      </c>
      <c r="I13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04" s="90" t="s">
        <v>11198</v>
      </c>
    </row>
    <row r="1305" spans="1:11">
      <c r="A1305" s="90" t="s">
        <v>7594</v>
      </c>
      <c r="B1305" s="90" t="s">
        <v>7595</v>
      </c>
      <c r="C1305" s="90" t="s">
        <v>13</v>
      </c>
      <c r="D1305" s="90" t="str">
        <f>VLOOKUP(Tabela1[[#This Row],[Origem]],'Perguntas 1 a 24'!$J$28:$K$34,2,FALSE)</f>
        <v>Sudeste</v>
      </c>
      <c r="E1305" s="90" t="s">
        <v>12644</v>
      </c>
      <c r="F1305" s="91">
        <v>46231</v>
      </c>
      <c r="G1305" s="92">
        <v>56349</v>
      </c>
      <c r="H1305" s="90" t="s">
        <v>14</v>
      </c>
      <c r="I13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05" s="90" t="s">
        <v>7595</v>
      </c>
    </row>
    <row r="1306" spans="1:11">
      <c r="A1306" s="90" t="s">
        <v>8693</v>
      </c>
      <c r="B1306" s="90" t="s">
        <v>8694</v>
      </c>
      <c r="C1306" s="90" t="s">
        <v>12</v>
      </c>
      <c r="D1306" s="90" t="str">
        <f>VLOOKUP(Tabela1[[#This Row],[Origem]],'Perguntas 1 a 24'!$J$28:$K$34,2,FALSE)</f>
        <v>Sudeste</v>
      </c>
      <c r="E1306" s="90" t="s">
        <v>12645</v>
      </c>
      <c r="F1306" s="91">
        <v>46231</v>
      </c>
      <c r="G1306" s="92">
        <v>90580</v>
      </c>
      <c r="H1306" s="90" t="s">
        <v>11</v>
      </c>
      <c r="I13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06" s="90" t="s">
        <v>8694</v>
      </c>
    </row>
    <row r="1307" spans="1:11">
      <c r="A1307" s="90" t="s">
        <v>9871</v>
      </c>
      <c r="B1307" s="90" t="s">
        <v>9872</v>
      </c>
      <c r="C1307" s="90" t="s">
        <v>8</v>
      </c>
      <c r="D1307" s="90" t="str">
        <f>VLOOKUP(Tabela1[[#This Row],[Origem]],'Perguntas 1 a 24'!$J$28:$K$34,2,FALSE)</f>
        <v>Nordeste</v>
      </c>
      <c r="E1307" s="90" t="s">
        <v>12646</v>
      </c>
      <c r="F1307" s="91">
        <v>46233</v>
      </c>
      <c r="G1307" s="92">
        <v>41057</v>
      </c>
      <c r="H1307" s="90" t="s">
        <v>7</v>
      </c>
      <c r="I13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07" s="90" t="s">
        <v>9872</v>
      </c>
    </row>
    <row r="1308" spans="1:11">
      <c r="A1308" s="90" t="s">
        <v>10757</v>
      </c>
      <c r="B1308" s="90" t="s">
        <v>10758</v>
      </c>
      <c r="C1308" s="90" t="s">
        <v>15</v>
      </c>
      <c r="D1308" s="90" t="str">
        <f>VLOOKUP(Tabela1[[#This Row],[Origem]],'Perguntas 1 a 24'!$J$28:$K$34,2,FALSE)</f>
        <v>Sudeste</v>
      </c>
      <c r="E1308" s="90" t="s">
        <v>12647</v>
      </c>
      <c r="F1308" s="91">
        <v>46233</v>
      </c>
      <c r="G1308" s="92">
        <v>86518</v>
      </c>
      <c r="H1308" s="90" t="s">
        <v>7</v>
      </c>
      <c r="I13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08" s="90" t="s">
        <v>10758</v>
      </c>
    </row>
    <row r="1309" spans="1:11">
      <c r="A1309" s="90" t="s">
        <v>11084</v>
      </c>
      <c r="B1309" s="90" t="s">
        <v>11085</v>
      </c>
      <c r="C1309" s="90" t="s">
        <v>16</v>
      </c>
      <c r="D1309" s="90" t="str">
        <f>VLOOKUP(Tabela1[[#This Row],[Origem]],'Perguntas 1 a 24'!$J$28:$K$34,2,FALSE)</f>
        <v>Sudeste</v>
      </c>
      <c r="E1309" s="90" t="s">
        <v>12648</v>
      </c>
      <c r="F1309" s="91">
        <v>46233</v>
      </c>
      <c r="G1309" s="92">
        <v>75939</v>
      </c>
      <c r="H1309" s="90" t="s">
        <v>14</v>
      </c>
      <c r="I13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09" s="90" t="s">
        <v>11085</v>
      </c>
    </row>
    <row r="1310" spans="1:11">
      <c r="A1310" s="90" t="s">
        <v>3896</v>
      </c>
      <c r="B1310" s="90" t="s">
        <v>3897</v>
      </c>
      <c r="C1310" s="90" t="s">
        <v>13</v>
      </c>
      <c r="D1310" s="90" t="str">
        <f>VLOOKUP(Tabela1[[#This Row],[Origem]],'Perguntas 1 a 24'!$J$28:$K$34,2,FALSE)</f>
        <v>Sudeste</v>
      </c>
      <c r="E1310" s="90" t="s">
        <v>12649</v>
      </c>
      <c r="F1310" s="91">
        <v>46234</v>
      </c>
      <c r="G1310" s="92">
        <v>90697</v>
      </c>
      <c r="H1310" s="90" t="s">
        <v>9</v>
      </c>
      <c r="I13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10" s="90" t="s">
        <v>3897</v>
      </c>
    </row>
    <row r="1311" spans="1:11">
      <c r="A1311" s="90" t="s">
        <v>6932</v>
      </c>
      <c r="B1311" s="90" t="s">
        <v>6933</v>
      </c>
      <c r="C1311" s="90" t="s">
        <v>10</v>
      </c>
      <c r="D1311" s="90" t="str">
        <f>VLOOKUP(Tabela1[[#This Row],[Origem]],'Perguntas 1 a 24'!$J$28:$K$34,2,FALSE)</f>
        <v>Centro-Oeste</v>
      </c>
      <c r="E1311" s="90" t="s">
        <v>12650</v>
      </c>
      <c r="F1311" s="91">
        <v>46234</v>
      </c>
      <c r="G1311" s="92">
        <v>60653</v>
      </c>
      <c r="H1311" s="90" t="s">
        <v>14</v>
      </c>
      <c r="I13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11" s="90" t="s">
        <v>6933</v>
      </c>
    </row>
    <row r="1312" spans="1:11">
      <c r="A1312" s="90" t="s">
        <v>7476</v>
      </c>
      <c r="B1312" s="90" t="s">
        <v>7477</v>
      </c>
      <c r="C1312" s="90" t="s">
        <v>6</v>
      </c>
      <c r="D1312" s="90" t="str">
        <f>VLOOKUP(Tabela1[[#This Row],[Origem]],'Perguntas 1 a 24'!$J$28:$K$34,2,FALSE)</f>
        <v>Nordeste</v>
      </c>
      <c r="E1312" s="90" t="s">
        <v>12651</v>
      </c>
      <c r="F1312" s="91">
        <v>46234</v>
      </c>
      <c r="G1312" s="92">
        <v>113810</v>
      </c>
      <c r="H1312" s="90" t="s">
        <v>11</v>
      </c>
      <c r="I13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12" s="90" t="s">
        <v>7477</v>
      </c>
    </row>
    <row r="1313" spans="1:11">
      <c r="A1313" s="90" t="s">
        <v>9499</v>
      </c>
      <c r="B1313" s="90" t="s">
        <v>9500</v>
      </c>
      <c r="C1313" s="90" t="s">
        <v>15</v>
      </c>
      <c r="D1313" s="90" t="str">
        <f>VLOOKUP(Tabela1[[#This Row],[Origem]],'Perguntas 1 a 24'!$J$28:$K$34,2,FALSE)</f>
        <v>Sudeste</v>
      </c>
      <c r="E1313" s="90" t="s">
        <v>12652</v>
      </c>
      <c r="F1313" s="91">
        <v>46234</v>
      </c>
      <c r="G1313" s="92">
        <v>103915</v>
      </c>
      <c r="H1313" s="90" t="s">
        <v>9</v>
      </c>
      <c r="I13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13" s="90" t="s">
        <v>9500</v>
      </c>
    </row>
    <row r="1314" spans="1:11">
      <c r="A1314" s="90" t="s">
        <v>6866</v>
      </c>
      <c r="B1314" s="90" t="s">
        <v>6867</v>
      </c>
      <c r="C1314" s="90" t="s">
        <v>12</v>
      </c>
      <c r="D1314" s="90" t="str">
        <f>VLOOKUP(Tabela1[[#This Row],[Origem]],'Perguntas 1 a 24'!$J$28:$K$34,2,FALSE)</f>
        <v>Sudeste</v>
      </c>
      <c r="E1314" s="90" t="s">
        <v>12653</v>
      </c>
      <c r="F1314" s="91">
        <v>46235</v>
      </c>
      <c r="G1314" s="92">
        <v>110950</v>
      </c>
      <c r="H1314" s="90" t="s">
        <v>11</v>
      </c>
      <c r="I13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14" s="90" t="s">
        <v>6867</v>
      </c>
    </row>
    <row r="1315" spans="1:11">
      <c r="A1315" s="90" t="s">
        <v>6482</v>
      </c>
      <c r="B1315" s="90" t="s">
        <v>6483</v>
      </c>
      <c r="C1315" s="90" t="s">
        <v>13</v>
      </c>
      <c r="D1315" s="90" t="str">
        <f>VLOOKUP(Tabela1[[#This Row],[Origem]],'Perguntas 1 a 24'!$J$28:$K$34,2,FALSE)</f>
        <v>Sudeste</v>
      </c>
      <c r="E1315" s="90" t="s">
        <v>12654</v>
      </c>
      <c r="F1315" s="91">
        <v>46236</v>
      </c>
      <c r="G1315" s="92">
        <v>115513</v>
      </c>
      <c r="H1315" s="90" t="s">
        <v>7</v>
      </c>
      <c r="I13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15" s="90" t="s">
        <v>6483</v>
      </c>
    </row>
    <row r="1316" spans="1:11">
      <c r="A1316" s="90" t="s">
        <v>5982</v>
      </c>
      <c r="B1316" s="90" t="s">
        <v>5983</v>
      </c>
      <c r="C1316" s="90" t="s">
        <v>13</v>
      </c>
      <c r="D1316" s="90" t="str">
        <f>VLOOKUP(Tabela1[[#This Row],[Origem]],'Perguntas 1 a 24'!$J$28:$K$34,2,FALSE)</f>
        <v>Sudeste</v>
      </c>
      <c r="E1316" s="90" t="s">
        <v>12655</v>
      </c>
      <c r="F1316" s="91">
        <v>46237</v>
      </c>
      <c r="G1316" s="92">
        <v>47915</v>
      </c>
      <c r="H1316" s="90" t="s">
        <v>7</v>
      </c>
      <c r="I13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16" s="90" t="s">
        <v>5983</v>
      </c>
    </row>
    <row r="1317" spans="1:11">
      <c r="A1317" s="90" t="s">
        <v>7434</v>
      </c>
      <c r="B1317" s="90" t="s">
        <v>7435</v>
      </c>
      <c r="C1317" s="90" t="s">
        <v>16</v>
      </c>
      <c r="D1317" s="90" t="str">
        <f>VLOOKUP(Tabela1[[#This Row],[Origem]],'Perguntas 1 a 24'!$J$28:$K$34,2,FALSE)</f>
        <v>Sudeste</v>
      </c>
      <c r="E1317" s="90" t="s">
        <v>12656</v>
      </c>
      <c r="F1317" s="91">
        <v>46237</v>
      </c>
      <c r="G1317" s="92">
        <v>77656</v>
      </c>
      <c r="H1317" s="90" t="s">
        <v>9</v>
      </c>
      <c r="I13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17" s="90" t="s">
        <v>7435</v>
      </c>
    </row>
    <row r="1318" spans="1:11">
      <c r="A1318" s="90" t="s">
        <v>7802</v>
      </c>
      <c r="B1318" s="90" t="s">
        <v>7803</v>
      </c>
      <c r="C1318" s="90" t="s">
        <v>6</v>
      </c>
      <c r="D1318" s="90" t="str">
        <f>VLOOKUP(Tabela1[[#This Row],[Origem]],'Perguntas 1 a 24'!$J$28:$K$34,2,FALSE)</f>
        <v>Nordeste</v>
      </c>
      <c r="E1318" s="90" t="s">
        <v>12657</v>
      </c>
      <c r="F1318" s="91">
        <v>46237</v>
      </c>
      <c r="G1318" s="92">
        <v>119903</v>
      </c>
      <c r="H1318" s="90" t="s">
        <v>9</v>
      </c>
      <c r="I13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18" s="90" t="s">
        <v>7803</v>
      </c>
    </row>
    <row r="1319" spans="1:11">
      <c r="A1319" s="90" t="s">
        <v>10711</v>
      </c>
      <c r="B1319" s="90" t="s">
        <v>10712</v>
      </c>
      <c r="C1319" s="90" t="s">
        <v>6</v>
      </c>
      <c r="D1319" s="90" t="str">
        <f>VLOOKUP(Tabela1[[#This Row],[Origem]],'Perguntas 1 a 24'!$J$28:$K$34,2,FALSE)</f>
        <v>Nordeste</v>
      </c>
      <c r="E1319" s="90" t="s">
        <v>12658</v>
      </c>
      <c r="F1319" s="91">
        <v>46237</v>
      </c>
      <c r="G1319" s="92">
        <v>49148</v>
      </c>
      <c r="H1319" s="90" t="s">
        <v>9</v>
      </c>
      <c r="I13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19" s="90" t="s">
        <v>10712</v>
      </c>
    </row>
    <row r="1320" spans="1:11">
      <c r="A1320" s="90" t="s">
        <v>4720</v>
      </c>
      <c r="B1320" s="90" t="s">
        <v>4721</v>
      </c>
      <c r="C1320" s="90" t="s">
        <v>12</v>
      </c>
      <c r="D1320" s="90" t="str">
        <f>VLOOKUP(Tabela1[[#This Row],[Origem]],'Perguntas 1 a 24'!$J$28:$K$34,2,FALSE)</f>
        <v>Sudeste</v>
      </c>
      <c r="E1320" s="90" t="s">
        <v>12659</v>
      </c>
      <c r="F1320" s="91">
        <v>46238</v>
      </c>
      <c r="G1320" s="92">
        <v>77523</v>
      </c>
      <c r="H1320" s="90" t="s">
        <v>11</v>
      </c>
      <c r="I13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20" s="90" t="s">
        <v>4721</v>
      </c>
    </row>
    <row r="1321" spans="1:11">
      <c r="A1321" s="90" t="s">
        <v>6006</v>
      </c>
      <c r="B1321" s="90" t="s">
        <v>6007</v>
      </c>
      <c r="C1321" s="90" t="s">
        <v>12</v>
      </c>
      <c r="D1321" s="90" t="str">
        <f>VLOOKUP(Tabela1[[#This Row],[Origem]],'Perguntas 1 a 24'!$J$28:$K$34,2,FALSE)</f>
        <v>Sudeste</v>
      </c>
      <c r="E1321" s="90" t="s">
        <v>12660</v>
      </c>
      <c r="F1321" s="91">
        <v>46238</v>
      </c>
      <c r="G1321" s="92">
        <v>21721</v>
      </c>
      <c r="H1321" s="90" t="s">
        <v>9</v>
      </c>
      <c r="I13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21" s="90" t="s">
        <v>6007</v>
      </c>
    </row>
    <row r="1322" spans="1:11">
      <c r="A1322" s="90" t="s">
        <v>4714</v>
      </c>
      <c r="B1322" s="90" t="s">
        <v>4715</v>
      </c>
      <c r="C1322" s="90" t="s">
        <v>16</v>
      </c>
      <c r="D1322" s="90" t="str">
        <f>VLOOKUP(Tabela1[[#This Row],[Origem]],'Perguntas 1 a 24'!$J$28:$K$34,2,FALSE)</f>
        <v>Sudeste</v>
      </c>
      <c r="E1322" s="90" t="s">
        <v>12661</v>
      </c>
      <c r="F1322" s="91">
        <v>46239</v>
      </c>
      <c r="G1322" s="92">
        <v>48300</v>
      </c>
      <c r="H1322" s="90" t="s">
        <v>11</v>
      </c>
      <c r="I13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22" s="90" t="s">
        <v>4715</v>
      </c>
    </row>
    <row r="1323" spans="1:11">
      <c r="A1323" s="90" t="s">
        <v>8358</v>
      </c>
      <c r="B1323" s="90" t="s">
        <v>8359</v>
      </c>
      <c r="C1323" s="90" t="s">
        <v>8</v>
      </c>
      <c r="D1323" s="90" t="str">
        <f>VLOOKUP(Tabela1[[#This Row],[Origem]],'Perguntas 1 a 24'!$J$28:$K$34,2,FALSE)</f>
        <v>Nordeste</v>
      </c>
      <c r="E1323" s="90" t="s">
        <v>12662</v>
      </c>
      <c r="F1323" s="91">
        <v>46239</v>
      </c>
      <c r="G1323" s="92">
        <v>92439</v>
      </c>
      <c r="H1323" s="90" t="s">
        <v>7</v>
      </c>
      <c r="I13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23" s="90" t="s">
        <v>8359</v>
      </c>
    </row>
    <row r="1324" spans="1:11">
      <c r="A1324" s="90" t="s">
        <v>10633</v>
      </c>
      <c r="B1324" s="90" t="s">
        <v>10634</v>
      </c>
      <c r="C1324" s="90" t="s">
        <v>12</v>
      </c>
      <c r="D1324" s="90" t="str">
        <f>VLOOKUP(Tabela1[[#This Row],[Origem]],'Perguntas 1 a 24'!$J$28:$K$34,2,FALSE)</f>
        <v>Sudeste</v>
      </c>
      <c r="E1324" s="90" t="s">
        <v>12663</v>
      </c>
      <c r="F1324" s="91">
        <v>46240</v>
      </c>
      <c r="G1324" s="92">
        <v>32390</v>
      </c>
      <c r="H1324" s="90" t="s">
        <v>7</v>
      </c>
      <c r="I13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24" s="90" t="s">
        <v>10634</v>
      </c>
    </row>
    <row r="1325" spans="1:11">
      <c r="A1325" s="90" t="s">
        <v>6344</v>
      </c>
      <c r="B1325" s="90" t="s">
        <v>6345</v>
      </c>
      <c r="C1325" s="90" t="s">
        <v>8</v>
      </c>
      <c r="D1325" s="90" t="str">
        <f>VLOOKUP(Tabela1[[#This Row],[Origem]],'Perguntas 1 a 24'!$J$28:$K$34,2,FALSE)</f>
        <v>Nordeste</v>
      </c>
      <c r="E1325" s="90" t="s">
        <v>12664</v>
      </c>
      <c r="F1325" s="91">
        <v>46241</v>
      </c>
      <c r="G1325" s="92">
        <v>91380</v>
      </c>
      <c r="H1325" s="90" t="s">
        <v>9</v>
      </c>
      <c r="I13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25" s="90" t="s">
        <v>6345</v>
      </c>
    </row>
    <row r="1326" spans="1:11">
      <c r="A1326" s="90" t="s">
        <v>5536</v>
      </c>
      <c r="B1326" s="90" t="s">
        <v>5537</v>
      </c>
      <c r="C1326" s="90" t="s">
        <v>13</v>
      </c>
      <c r="D1326" s="90" t="str">
        <f>VLOOKUP(Tabela1[[#This Row],[Origem]],'Perguntas 1 a 24'!$J$28:$K$34,2,FALSE)</f>
        <v>Sudeste</v>
      </c>
      <c r="E1326" s="90" t="s">
        <v>12665</v>
      </c>
      <c r="F1326" s="91">
        <v>46242</v>
      </c>
      <c r="G1326" s="92">
        <v>60945</v>
      </c>
      <c r="H1326" s="90" t="s">
        <v>11</v>
      </c>
      <c r="I13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26" s="90" t="s">
        <v>5537</v>
      </c>
    </row>
    <row r="1327" spans="1:11">
      <c r="A1327" s="90" t="s">
        <v>7714</v>
      </c>
      <c r="B1327" s="90" t="s">
        <v>7715</v>
      </c>
      <c r="C1327" s="90" t="s">
        <v>12</v>
      </c>
      <c r="D1327" s="90" t="str">
        <f>VLOOKUP(Tabela1[[#This Row],[Origem]],'Perguntas 1 a 24'!$J$28:$K$34,2,FALSE)</f>
        <v>Sudeste</v>
      </c>
      <c r="E1327" s="90" t="s">
        <v>12666</v>
      </c>
      <c r="F1327" s="91">
        <v>46244</v>
      </c>
      <c r="G1327" s="92">
        <v>101821</v>
      </c>
      <c r="H1327" s="90" t="s">
        <v>14</v>
      </c>
      <c r="I13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27" s="90" t="s">
        <v>7715</v>
      </c>
    </row>
    <row r="1328" spans="1:11">
      <c r="A1328" s="90" t="s">
        <v>9231</v>
      </c>
      <c r="B1328" s="90" t="s">
        <v>9232</v>
      </c>
      <c r="C1328" s="90" t="s">
        <v>6</v>
      </c>
      <c r="D1328" s="90" t="str">
        <f>VLOOKUP(Tabela1[[#This Row],[Origem]],'Perguntas 1 a 24'!$J$28:$K$34,2,FALSE)</f>
        <v>Nordeste</v>
      </c>
      <c r="E1328" s="90" t="s">
        <v>12667</v>
      </c>
      <c r="F1328" s="91">
        <v>46244</v>
      </c>
      <c r="G1328" s="92">
        <v>115722</v>
      </c>
      <c r="H1328" s="90" t="s">
        <v>7</v>
      </c>
      <c r="I13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28" s="90" t="s">
        <v>9232</v>
      </c>
    </row>
    <row r="1329" spans="1:11">
      <c r="A1329" s="90" t="s">
        <v>4381</v>
      </c>
      <c r="B1329" s="90" t="s">
        <v>4382</v>
      </c>
      <c r="C1329" s="90" t="s">
        <v>8</v>
      </c>
      <c r="D1329" s="90" t="str">
        <f>VLOOKUP(Tabela1[[#This Row],[Origem]],'Perguntas 1 a 24'!$J$28:$K$34,2,FALSE)</f>
        <v>Nordeste</v>
      </c>
      <c r="E1329" s="90" t="s">
        <v>12668</v>
      </c>
      <c r="F1329" s="91">
        <v>46245</v>
      </c>
      <c r="G1329" s="92">
        <v>29597</v>
      </c>
      <c r="H1329" s="90" t="s">
        <v>14</v>
      </c>
      <c r="I13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29" s="90" t="s">
        <v>4382</v>
      </c>
    </row>
    <row r="1330" spans="1:11">
      <c r="A1330" s="90" t="s">
        <v>6116</v>
      </c>
      <c r="B1330" s="90" t="s">
        <v>6117</v>
      </c>
      <c r="C1330" s="90" t="s">
        <v>15</v>
      </c>
      <c r="D1330" s="90" t="str">
        <f>VLOOKUP(Tabela1[[#This Row],[Origem]],'Perguntas 1 a 24'!$J$28:$K$34,2,FALSE)</f>
        <v>Sudeste</v>
      </c>
      <c r="E1330" s="90" t="s">
        <v>12669</v>
      </c>
      <c r="F1330" s="91">
        <v>46245</v>
      </c>
      <c r="G1330" s="92">
        <v>31161</v>
      </c>
      <c r="H1330" s="90" t="s">
        <v>14</v>
      </c>
      <c r="I13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30" s="90" t="s">
        <v>6117</v>
      </c>
    </row>
    <row r="1331" spans="1:11">
      <c r="A1331" s="90" t="s">
        <v>7344</v>
      </c>
      <c r="B1331" s="90" t="s">
        <v>7345</v>
      </c>
      <c r="C1331" s="90" t="s">
        <v>16</v>
      </c>
      <c r="D1331" s="90" t="str">
        <f>VLOOKUP(Tabela1[[#This Row],[Origem]],'Perguntas 1 a 24'!$J$28:$K$34,2,FALSE)</f>
        <v>Sudeste</v>
      </c>
      <c r="E1331" s="90" t="s">
        <v>12670</v>
      </c>
      <c r="F1331" s="91">
        <v>46245</v>
      </c>
      <c r="G1331" s="92">
        <v>42856</v>
      </c>
      <c r="H1331" s="90" t="s">
        <v>14</v>
      </c>
      <c r="I13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31" s="90" t="s">
        <v>7345</v>
      </c>
    </row>
    <row r="1332" spans="1:11">
      <c r="A1332" s="90" t="s">
        <v>6080</v>
      </c>
      <c r="B1332" s="90" t="s">
        <v>6081</v>
      </c>
      <c r="C1332" s="90" t="s">
        <v>16</v>
      </c>
      <c r="D1332" s="90" t="str">
        <f>VLOOKUP(Tabela1[[#This Row],[Origem]],'Perguntas 1 a 24'!$J$28:$K$34,2,FALSE)</f>
        <v>Sudeste</v>
      </c>
      <c r="E1332" s="90" t="s">
        <v>12671</v>
      </c>
      <c r="F1332" s="91">
        <v>46247</v>
      </c>
      <c r="G1332" s="92">
        <v>94906</v>
      </c>
      <c r="H1332" s="90" t="s">
        <v>7</v>
      </c>
      <c r="I13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32" s="90" t="s">
        <v>6081</v>
      </c>
    </row>
    <row r="1333" spans="1:11">
      <c r="A1333" s="90" t="s">
        <v>10169</v>
      </c>
      <c r="B1333" s="90" t="s">
        <v>10170</v>
      </c>
      <c r="C1333" s="90" t="s">
        <v>6</v>
      </c>
      <c r="D1333" s="90" t="str">
        <f>VLOOKUP(Tabela1[[#This Row],[Origem]],'Perguntas 1 a 24'!$J$28:$K$34,2,FALSE)</f>
        <v>Nordeste</v>
      </c>
      <c r="E1333" s="90" t="s">
        <v>12672</v>
      </c>
      <c r="F1333" s="91">
        <v>46247</v>
      </c>
      <c r="G1333" s="92">
        <v>93393</v>
      </c>
      <c r="H1333" s="90" t="s">
        <v>7</v>
      </c>
      <c r="I13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33" s="90" t="s">
        <v>10170</v>
      </c>
    </row>
    <row r="1334" spans="1:11">
      <c r="A1334" s="90" t="s">
        <v>4481</v>
      </c>
      <c r="B1334" s="90" t="s">
        <v>4482</v>
      </c>
      <c r="C1334" s="90" t="s">
        <v>15</v>
      </c>
      <c r="D1334" s="90" t="str">
        <f>VLOOKUP(Tabela1[[#This Row],[Origem]],'Perguntas 1 a 24'!$J$28:$K$34,2,FALSE)</f>
        <v>Sudeste</v>
      </c>
      <c r="E1334" s="90" t="s">
        <v>12673</v>
      </c>
      <c r="F1334" s="91">
        <v>46248</v>
      </c>
      <c r="G1334" s="92">
        <v>76338</v>
      </c>
      <c r="H1334" s="90" t="s">
        <v>7</v>
      </c>
      <c r="I13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34" s="90" t="s">
        <v>4482</v>
      </c>
    </row>
    <row r="1335" spans="1:11">
      <c r="A1335" s="90" t="s">
        <v>7214</v>
      </c>
      <c r="B1335" s="90" t="s">
        <v>7215</v>
      </c>
      <c r="C1335" s="90" t="s">
        <v>16</v>
      </c>
      <c r="D1335" s="90" t="str">
        <f>VLOOKUP(Tabela1[[#This Row],[Origem]],'Perguntas 1 a 24'!$J$28:$K$34,2,FALSE)</f>
        <v>Sudeste</v>
      </c>
      <c r="E1335" s="90" t="s">
        <v>12674</v>
      </c>
      <c r="F1335" s="91">
        <v>46248</v>
      </c>
      <c r="G1335" s="92">
        <v>98079</v>
      </c>
      <c r="H1335" s="90" t="s">
        <v>9</v>
      </c>
      <c r="I13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35" s="90" t="s">
        <v>7215</v>
      </c>
    </row>
    <row r="1336" spans="1:11">
      <c r="A1336" s="90" t="s">
        <v>6930</v>
      </c>
      <c r="B1336" s="90" t="s">
        <v>6931</v>
      </c>
      <c r="C1336" s="90" t="s">
        <v>15</v>
      </c>
      <c r="D1336" s="90" t="str">
        <f>VLOOKUP(Tabela1[[#This Row],[Origem]],'Perguntas 1 a 24'!$J$28:$K$34,2,FALSE)</f>
        <v>Sudeste</v>
      </c>
      <c r="E1336" s="90" t="s">
        <v>12675</v>
      </c>
      <c r="F1336" s="91">
        <v>46249</v>
      </c>
      <c r="G1336" s="92">
        <v>46892</v>
      </c>
      <c r="H1336" s="90" t="s">
        <v>14</v>
      </c>
      <c r="I13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36" s="90" t="s">
        <v>6931</v>
      </c>
    </row>
    <row r="1337" spans="1:11">
      <c r="A1337" s="90" t="s">
        <v>8406</v>
      </c>
      <c r="B1337" s="90" t="s">
        <v>8407</v>
      </c>
      <c r="C1337" s="90" t="s">
        <v>10</v>
      </c>
      <c r="D1337" s="90" t="str">
        <f>VLOOKUP(Tabela1[[#This Row],[Origem]],'Perguntas 1 a 24'!$J$28:$K$34,2,FALSE)</f>
        <v>Centro-Oeste</v>
      </c>
      <c r="E1337" s="90" t="s">
        <v>12676</v>
      </c>
      <c r="F1337" s="91">
        <v>46249</v>
      </c>
      <c r="G1337" s="92">
        <v>71036</v>
      </c>
      <c r="H1337" s="90" t="s">
        <v>7</v>
      </c>
      <c r="I13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37" s="90" t="s">
        <v>8407</v>
      </c>
    </row>
    <row r="1338" spans="1:11">
      <c r="A1338" s="90" t="s">
        <v>10145</v>
      </c>
      <c r="B1338" s="90" t="s">
        <v>10146</v>
      </c>
      <c r="C1338" s="90" t="s">
        <v>16</v>
      </c>
      <c r="D1338" s="90" t="str">
        <f>VLOOKUP(Tabela1[[#This Row],[Origem]],'Perguntas 1 a 24'!$J$28:$K$34,2,FALSE)</f>
        <v>Sudeste</v>
      </c>
      <c r="E1338" s="90" t="s">
        <v>12677</v>
      </c>
      <c r="F1338" s="91">
        <v>46250</v>
      </c>
      <c r="G1338" s="92">
        <v>51373</v>
      </c>
      <c r="H1338" s="90" t="s">
        <v>9</v>
      </c>
      <c r="I13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38" s="90" t="s">
        <v>10146</v>
      </c>
    </row>
    <row r="1339" spans="1:11">
      <c r="A1339" s="90" t="s">
        <v>3862</v>
      </c>
      <c r="B1339" s="90" t="s">
        <v>3863</v>
      </c>
      <c r="C1339" s="90" t="s">
        <v>16</v>
      </c>
      <c r="D1339" s="90" t="str">
        <f>VLOOKUP(Tabela1[[#This Row],[Origem]],'Perguntas 1 a 24'!$J$28:$K$34,2,FALSE)</f>
        <v>Sudeste</v>
      </c>
      <c r="E1339" s="90" t="s">
        <v>12678</v>
      </c>
      <c r="F1339" s="91">
        <v>46251</v>
      </c>
      <c r="G1339" s="92">
        <v>99102</v>
      </c>
      <c r="H1339" s="90" t="s">
        <v>9</v>
      </c>
      <c r="I13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39" s="90" t="s">
        <v>3863</v>
      </c>
    </row>
    <row r="1340" spans="1:11">
      <c r="A1340" s="90" t="s">
        <v>6936</v>
      </c>
      <c r="B1340" s="90" t="s">
        <v>6937</v>
      </c>
      <c r="C1340" s="90" t="s">
        <v>6</v>
      </c>
      <c r="D1340" s="90" t="str">
        <f>VLOOKUP(Tabela1[[#This Row],[Origem]],'Perguntas 1 a 24'!$J$28:$K$34,2,FALSE)</f>
        <v>Nordeste</v>
      </c>
      <c r="E1340" s="90" t="s">
        <v>12679</v>
      </c>
      <c r="F1340" s="91">
        <v>46251</v>
      </c>
      <c r="G1340" s="92">
        <v>23143</v>
      </c>
      <c r="H1340" s="90" t="s">
        <v>11</v>
      </c>
      <c r="I13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40" s="90" t="s">
        <v>6937</v>
      </c>
    </row>
    <row r="1341" spans="1:11">
      <c r="A1341" s="90" t="s">
        <v>11038</v>
      </c>
      <c r="B1341" s="90" t="s">
        <v>11039</v>
      </c>
      <c r="C1341" s="90" t="s">
        <v>6</v>
      </c>
      <c r="D1341" s="90" t="str">
        <f>VLOOKUP(Tabela1[[#This Row],[Origem]],'Perguntas 1 a 24'!$J$28:$K$34,2,FALSE)</f>
        <v>Nordeste</v>
      </c>
      <c r="E1341" s="90" t="s">
        <v>12680</v>
      </c>
      <c r="F1341" s="91">
        <v>46252</v>
      </c>
      <c r="G1341" s="92">
        <v>72330</v>
      </c>
      <c r="H1341" s="90" t="s">
        <v>14</v>
      </c>
      <c r="I13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41" s="90" t="s">
        <v>11039</v>
      </c>
    </row>
    <row r="1342" spans="1:11">
      <c r="A1342" s="90" t="s">
        <v>6552</v>
      </c>
      <c r="B1342" s="90" t="s">
        <v>6553</v>
      </c>
      <c r="C1342" s="90" t="s">
        <v>15</v>
      </c>
      <c r="D1342" s="90" t="str">
        <f>VLOOKUP(Tabela1[[#This Row],[Origem]],'Perguntas 1 a 24'!$J$28:$K$34,2,FALSE)</f>
        <v>Sudeste</v>
      </c>
      <c r="E1342" s="90" t="s">
        <v>12681</v>
      </c>
      <c r="F1342" s="91">
        <v>46253</v>
      </c>
      <c r="G1342" s="92">
        <v>87748</v>
      </c>
      <c r="H1342" s="90" t="s">
        <v>11</v>
      </c>
      <c r="I13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42" s="90" t="s">
        <v>6553</v>
      </c>
    </row>
    <row r="1343" spans="1:11">
      <c r="A1343" s="90" t="s">
        <v>6578</v>
      </c>
      <c r="B1343" s="90" t="s">
        <v>6579</v>
      </c>
      <c r="C1343" s="90" t="s">
        <v>6</v>
      </c>
      <c r="D1343" s="90" t="str">
        <f>VLOOKUP(Tabela1[[#This Row],[Origem]],'Perguntas 1 a 24'!$J$28:$K$34,2,FALSE)</f>
        <v>Nordeste</v>
      </c>
      <c r="E1343" s="90" t="s">
        <v>12682</v>
      </c>
      <c r="F1343" s="91">
        <v>46253</v>
      </c>
      <c r="G1343" s="92">
        <v>70357</v>
      </c>
      <c r="H1343" s="90" t="s">
        <v>9</v>
      </c>
      <c r="I13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43" s="90" t="s">
        <v>6579</v>
      </c>
    </row>
    <row r="1344" spans="1:11">
      <c r="A1344" s="90" t="s">
        <v>3810</v>
      </c>
      <c r="B1344" s="90" t="s">
        <v>3811</v>
      </c>
      <c r="C1344" s="90" t="s">
        <v>16</v>
      </c>
      <c r="D1344" s="90" t="str">
        <f>VLOOKUP(Tabela1[[#This Row],[Origem]],'Perguntas 1 a 24'!$J$28:$K$34,2,FALSE)</f>
        <v>Sudeste</v>
      </c>
      <c r="E1344" s="90" t="s">
        <v>12683</v>
      </c>
      <c r="F1344" s="91">
        <v>46254</v>
      </c>
      <c r="G1344" s="92">
        <v>80537</v>
      </c>
      <c r="H1344" s="90" t="s">
        <v>14</v>
      </c>
      <c r="I13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44" s="90" t="s">
        <v>3811</v>
      </c>
    </row>
    <row r="1345" spans="1:11">
      <c r="A1345" s="90" t="s">
        <v>10717</v>
      </c>
      <c r="B1345" s="90" t="s">
        <v>10718</v>
      </c>
      <c r="C1345" s="90" t="s">
        <v>16</v>
      </c>
      <c r="D1345" s="90" t="str">
        <f>VLOOKUP(Tabela1[[#This Row],[Origem]],'Perguntas 1 a 24'!$J$28:$K$34,2,FALSE)</f>
        <v>Sudeste</v>
      </c>
      <c r="E1345" s="90" t="s">
        <v>12684</v>
      </c>
      <c r="F1345" s="91">
        <v>46254</v>
      </c>
      <c r="G1345" s="92">
        <v>70341</v>
      </c>
      <c r="H1345" s="90" t="s">
        <v>14</v>
      </c>
      <c r="I13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45" s="90" t="s">
        <v>10718</v>
      </c>
    </row>
    <row r="1346" spans="1:11">
      <c r="A1346" s="90" t="s">
        <v>5844</v>
      </c>
      <c r="B1346" s="90" t="s">
        <v>5845</v>
      </c>
      <c r="C1346" s="90" t="s">
        <v>6</v>
      </c>
      <c r="D1346" s="90" t="str">
        <f>VLOOKUP(Tabela1[[#This Row],[Origem]],'Perguntas 1 a 24'!$J$28:$K$34,2,FALSE)</f>
        <v>Nordeste</v>
      </c>
      <c r="E1346" s="90" t="s">
        <v>12685</v>
      </c>
      <c r="F1346" s="91">
        <v>46255</v>
      </c>
      <c r="G1346" s="92">
        <v>23653</v>
      </c>
      <c r="H1346" s="90" t="s">
        <v>14</v>
      </c>
      <c r="I13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46" s="90" t="s">
        <v>5845</v>
      </c>
    </row>
    <row r="1347" spans="1:11">
      <c r="A1347" s="90" t="s">
        <v>10739</v>
      </c>
      <c r="B1347" s="90" t="s">
        <v>10740</v>
      </c>
      <c r="C1347" s="90" t="s">
        <v>13</v>
      </c>
      <c r="D1347" s="90" t="str">
        <f>VLOOKUP(Tabela1[[#This Row],[Origem]],'Perguntas 1 a 24'!$J$28:$K$34,2,FALSE)</f>
        <v>Sudeste</v>
      </c>
      <c r="E1347" s="90" t="s">
        <v>12686</v>
      </c>
      <c r="F1347" s="91">
        <v>46256</v>
      </c>
      <c r="G1347" s="92">
        <v>101915</v>
      </c>
      <c r="H1347" s="90" t="s">
        <v>7</v>
      </c>
      <c r="I13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47" s="90" t="s">
        <v>10740</v>
      </c>
    </row>
    <row r="1348" spans="1:11">
      <c r="A1348" s="90" t="s">
        <v>3898</v>
      </c>
      <c r="B1348" s="90" t="s">
        <v>3899</v>
      </c>
      <c r="C1348" s="90" t="s">
        <v>13</v>
      </c>
      <c r="D1348" s="90" t="str">
        <f>VLOOKUP(Tabela1[[#This Row],[Origem]],'Perguntas 1 a 24'!$J$28:$K$34,2,FALSE)</f>
        <v>Sudeste</v>
      </c>
      <c r="E1348" s="90" t="s">
        <v>12687</v>
      </c>
      <c r="F1348" s="91">
        <v>46257</v>
      </c>
      <c r="G1348" s="92">
        <v>100077</v>
      </c>
      <c r="H1348" s="90" t="s">
        <v>7</v>
      </c>
      <c r="I13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48" s="90" t="s">
        <v>3899</v>
      </c>
    </row>
    <row r="1349" spans="1:11">
      <c r="A1349" s="90" t="s">
        <v>6846</v>
      </c>
      <c r="B1349" s="90" t="s">
        <v>6847</v>
      </c>
      <c r="C1349" s="90" t="s">
        <v>16</v>
      </c>
      <c r="D1349" s="90" t="str">
        <f>VLOOKUP(Tabela1[[#This Row],[Origem]],'Perguntas 1 a 24'!$J$28:$K$34,2,FALSE)</f>
        <v>Sudeste</v>
      </c>
      <c r="E1349" s="90" t="s">
        <v>12688</v>
      </c>
      <c r="F1349" s="91">
        <v>46257</v>
      </c>
      <c r="G1349" s="92">
        <v>57475</v>
      </c>
      <c r="H1349" s="90" t="s">
        <v>14</v>
      </c>
      <c r="I13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49" s="90" t="s">
        <v>6847</v>
      </c>
    </row>
    <row r="1350" spans="1:11">
      <c r="A1350" s="90" t="s">
        <v>7570</v>
      </c>
      <c r="B1350" s="90" t="s">
        <v>7571</v>
      </c>
      <c r="C1350" s="90" t="s">
        <v>10</v>
      </c>
      <c r="D1350" s="90" t="str">
        <f>VLOOKUP(Tabela1[[#This Row],[Origem]],'Perguntas 1 a 24'!$J$28:$K$34,2,FALSE)</f>
        <v>Centro-Oeste</v>
      </c>
      <c r="E1350" s="90" t="s">
        <v>12689</v>
      </c>
      <c r="F1350" s="91">
        <v>46258</v>
      </c>
      <c r="G1350" s="92">
        <v>75070</v>
      </c>
      <c r="H1350" s="90" t="s">
        <v>11</v>
      </c>
      <c r="I13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50" s="90" t="s">
        <v>7571</v>
      </c>
    </row>
    <row r="1351" spans="1:11">
      <c r="A1351" s="90" t="s">
        <v>8671</v>
      </c>
      <c r="B1351" s="90" t="s">
        <v>8672</v>
      </c>
      <c r="C1351" s="90" t="s">
        <v>6</v>
      </c>
      <c r="D1351" s="90" t="str">
        <f>VLOOKUP(Tabela1[[#This Row],[Origem]],'Perguntas 1 a 24'!$J$28:$K$34,2,FALSE)</f>
        <v>Nordeste</v>
      </c>
      <c r="E1351" s="90" t="s">
        <v>12690</v>
      </c>
      <c r="F1351" s="91">
        <v>46258</v>
      </c>
      <c r="G1351" s="92">
        <v>93624</v>
      </c>
      <c r="H1351" s="90" t="s">
        <v>11</v>
      </c>
      <c r="I13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51" s="90" t="s">
        <v>8672</v>
      </c>
    </row>
    <row r="1352" spans="1:11">
      <c r="A1352" s="90" t="s">
        <v>9497</v>
      </c>
      <c r="B1352" s="90" t="s">
        <v>9498</v>
      </c>
      <c r="C1352" s="90" t="s">
        <v>13</v>
      </c>
      <c r="D1352" s="90" t="str">
        <f>VLOOKUP(Tabela1[[#This Row],[Origem]],'Perguntas 1 a 24'!$J$28:$K$34,2,FALSE)</f>
        <v>Sudeste</v>
      </c>
      <c r="E1352" s="90" t="s">
        <v>12691</v>
      </c>
      <c r="F1352" s="91">
        <v>46258</v>
      </c>
      <c r="G1352" s="92">
        <v>58848</v>
      </c>
      <c r="H1352" s="90" t="s">
        <v>7</v>
      </c>
      <c r="I13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52" s="90" t="s">
        <v>9498</v>
      </c>
    </row>
    <row r="1353" spans="1:11">
      <c r="A1353" s="90" t="s">
        <v>9947</v>
      </c>
      <c r="B1353" s="90" t="s">
        <v>9948</v>
      </c>
      <c r="C1353" s="90" t="s">
        <v>13</v>
      </c>
      <c r="D1353" s="90" t="str">
        <f>VLOOKUP(Tabela1[[#This Row],[Origem]],'Perguntas 1 a 24'!$J$28:$K$34,2,FALSE)</f>
        <v>Sudeste</v>
      </c>
      <c r="E1353" s="90" t="s">
        <v>12692</v>
      </c>
      <c r="F1353" s="91">
        <v>46259</v>
      </c>
      <c r="G1353" s="92">
        <v>86033</v>
      </c>
      <c r="H1353" s="90" t="s">
        <v>7</v>
      </c>
      <c r="I13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53" s="90" t="s">
        <v>9948</v>
      </c>
    </row>
    <row r="1354" spans="1:11">
      <c r="A1354" s="90" t="s">
        <v>7678</v>
      </c>
      <c r="B1354" s="90" t="s">
        <v>7679</v>
      </c>
      <c r="C1354" s="90" t="s">
        <v>15</v>
      </c>
      <c r="D1354" s="90" t="str">
        <f>VLOOKUP(Tabela1[[#This Row],[Origem]],'Perguntas 1 a 24'!$J$28:$K$34,2,FALSE)</f>
        <v>Sudeste</v>
      </c>
      <c r="E1354" s="90" t="s">
        <v>12693</v>
      </c>
      <c r="F1354" s="91">
        <v>46260</v>
      </c>
      <c r="G1354" s="92">
        <v>42300</v>
      </c>
      <c r="H1354" s="90" t="s">
        <v>11</v>
      </c>
      <c r="I13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54" s="90" t="s">
        <v>7679</v>
      </c>
    </row>
    <row r="1355" spans="1:11">
      <c r="A1355" s="90" t="s">
        <v>9779</v>
      </c>
      <c r="B1355" s="90" t="s">
        <v>9780</v>
      </c>
      <c r="C1355" s="90" t="s">
        <v>8</v>
      </c>
      <c r="D1355" s="90" t="str">
        <f>VLOOKUP(Tabela1[[#This Row],[Origem]],'Perguntas 1 a 24'!$J$28:$K$34,2,FALSE)</f>
        <v>Nordeste</v>
      </c>
      <c r="E1355" s="90" t="s">
        <v>12694</v>
      </c>
      <c r="F1355" s="91">
        <v>46261</v>
      </c>
      <c r="G1355" s="92">
        <v>84042</v>
      </c>
      <c r="H1355" s="90" t="s">
        <v>7</v>
      </c>
      <c r="I13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55" s="90" t="s">
        <v>9780</v>
      </c>
    </row>
    <row r="1356" spans="1:11">
      <c r="A1356" s="90" t="s">
        <v>9887</v>
      </c>
      <c r="B1356" s="90" t="s">
        <v>9888</v>
      </c>
      <c r="C1356" s="90" t="s">
        <v>13</v>
      </c>
      <c r="D1356" s="90" t="str">
        <f>VLOOKUP(Tabela1[[#This Row],[Origem]],'Perguntas 1 a 24'!$J$28:$K$34,2,FALSE)</f>
        <v>Sudeste</v>
      </c>
      <c r="E1356" s="90" t="s">
        <v>12695</v>
      </c>
      <c r="F1356" s="91">
        <v>46261</v>
      </c>
      <c r="G1356" s="92">
        <v>113476</v>
      </c>
      <c r="H1356" s="90" t="s">
        <v>11</v>
      </c>
      <c r="I13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56" s="90" t="s">
        <v>9888</v>
      </c>
    </row>
    <row r="1357" spans="1:11">
      <c r="A1357" s="90" t="s">
        <v>5408</v>
      </c>
      <c r="B1357" s="90" t="s">
        <v>5409</v>
      </c>
      <c r="C1357" s="90" t="s">
        <v>6</v>
      </c>
      <c r="D1357" s="90" t="str">
        <f>VLOOKUP(Tabela1[[#This Row],[Origem]],'Perguntas 1 a 24'!$J$28:$K$34,2,FALSE)</f>
        <v>Nordeste</v>
      </c>
      <c r="E1357" s="90" t="s">
        <v>12696</v>
      </c>
      <c r="F1357" s="91">
        <v>46264</v>
      </c>
      <c r="G1357" s="92">
        <v>50681</v>
      </c>
      <c r="H1357" s="90" t="s">
        <v>7</v>
      </c>
      <c r="I13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57" s="90" t="s">
        <v>5409</v>
      </c>
    </row>
    <row r="1358" spans="1:11">
      <c r="A1358" s="90" t="s">
        <v>9487</v>
      </c>
      <c r="B1358" s="90" t="s">
        <v>9488</v>
      </c>
      <c r="C1358" s="90" t="s">
        <v>6</v>
      </c>
      <c r="D1358" s="90" t="str">
        <f>VLOOKUP(Tabela1[[#This Row],[Origem]],'Perguntas 1 a 24'!$J$28:$K$34,2,FALSE)</f>
        <v>Nordeste</v>
      </c>
      <c r="E1358" s="90" t="s">
        <v>12697</v>
      </c>
      <c r="F1358" s="91">
        <v>46264</v>
      </c>
      <c r="G1358" s="92">
        <v>54539</v>
      </c>
      <c r="H1358" s="90" t="s">
        <v>9</v>
      </c>
      <c r="I13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58" s="90" t="s">
        <v>9488</v>
      </c>
    </row>
    <row r="1359" spans="1:11">
      <c r="A1359" s="90" t="s">
        <v>9885</v>
      </c>
      <c r="B1359" s="90" t="s">
        <v>9886</v>
      </c>
      <c r="C1359" s="90" t="s">
        <v>13</v>
      </c>
      <c r="D1359" s="90" t="str">
        <f>VLOOKUP(Tabela1[[#This Row],[Origem]],'Perguntas 1 a 24'!$J$28:$K$34,2,FALSE)</f>
        <v>Sudeste</v>
      </c>
      <c r="E1359" s="90" t="s">
        <v>12698</v>
      </c>
      <c r="F1359" s="91">
        <v>46264</v>
      </c>
      <c r="G1359" s="92">
        <v>22846</v>
      </c>
      <c r="H1359" s="90" t="s">
        <v>14</v>
      </c>
      <c r="I13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59" s="90" t="s">
        <v>9886</v>
      </c>
    </row>
    <row r="1360" spans="1:11">
      <c r="A1360" s="90" t="s">
        <v>5084</v>
      </c>
      <c r="B1360" s="90" t="s">
        <v>5085</v>
      </c>
      <c r="C1360" s="90" t="s">
        <v>8</v>
      </c>
      <c r="D1360" s="90" t="str">
        <f>VLOOKUP(Tabela1[[#This Row],[Origem]],'Perguntas 1 a 24'!$J$28:$K$34,2,FALSE)</f>
        <v>Nordeste</v>
      </c>
      <c r="E1360" s="90" t="s">
        <v>12699</v>
      </c>
      <c r="F1360" s="91">
        <v>46265</v>
      </c>
      <c r="G1360" s="92">
        <v>85029</v>
      </c>
      <c r="H1360" s="90" t="s">
        <v>11</v>
      </c>
      <c r="I13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60" s="90" t="s">
        <v>5085</v>
      </c>
    </row>
    <row r="1361" spans="1:11">
      <c r="A1361" s="90" t="s">
        <v>4134</v>
      </c>
      <c r="B1361" s="90" t="s">
        <v>4135</v>
      </c>
      <c r="C1361" s="90" t="s">
        <v>13</v>
      </c>
      <c r="D1361" s="90" t="str">
        <f>VLOOKUP(Tabela1[[#This Row],[Origem]],'Perguntas 1 a 24'!$J$28:$K$34,2,FALSE)</f>
        <v>Sudeste</v>
      </c>
      <c r="E1361" s="90" t="s">
        <v>12700</v>
      </c>
      <c r="F1361" s="91">
        <v>46266</v>
      </c>
      <c r="G1361" s="92">
        <v>44546</v>
      </c>
      <c r="H1361" s="90" t="s">
        <v>9</v>
      </c>
      <c r="I13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61" s="90" t="s">
        <v>4135</v>
      </c>
    </row>
    <row r="1362" spans="1:11">
      <c r="A1362" s="90" t="s">
        <v>4030</v>
      </c>
      <c r="B1362" s="90" t="s">
        <v>4031</v>
      </c>
      <c r="C1362" s="90" t="s">
        <v>10</v>
      </c>
      <c r="D1362" s="90" t="str">
        <f>VLOOKUP(Tabela1[[#This Row],[Origem]],'Perguntas 1 a 24'!$J$28:$K$34,2,FALSE)</f>
        <v>Centro-Oeste</v>
      </c>
      <c r="E1362" s="90" t="s">
        <v>12701</v>
      </c>
      <c r="F1362" s="91">
        <v>46267</v>
      </c>
      <c r="G1362" s="92">
        <v>93442</v>
      </c>
      <c r="H1362" s="90" t="s">
        <v>9</v>
      </c>
      <c r="I13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62" s="90" t="s">
        <v>4031</v>
      </c>
    </row>
    <row r="1363" spans="1:11">
      <c r="A1363" s="90" t="s">
        <v>7378</v>
      </c>
      <c r="B1363" s="90" t="s">
        <v>7379</v>
      </c>
      <c r="C1363" s="90" t="s">
        <v>8</v>
      </c>
      <c r="D1363" s="90" t="str">
        <f>VLOOKUP(Tabela1[[#This Row],[Origem]],'Perguntas 1 a 24'!$J$28:$K$34,2,FALSE)</f>
        <v>Nordeste</v>
      </c>
      <c r="E1363" s="90" t="s">
        <v>12702</v>
      </c>
      <c r="F1363" s="91">
        <v>46267</v>
      </c>
      <c r="G1363" s="92">
        <v>22656</v>
      </c>
      <c r="H1363" s="90" t="s">
        <v>7</v>
      </c>
      <c r="I13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63" s="90" t="s">
        <v>7379</v>
      </c>
    </row>
    <row r="1364" spans="1:11">
      <c r="A1364" s="90" t="s">
        <v>7868</v>
      </c>
      <c r="B1364" s="90" t="s">
        <v>7869</v>
      </c>
      <c r="C1364" s="90" t="s">
        <v>8</v>
      </c>
      <c r="D1364" s="90" t="str">
        <f>VLOOKUP(Tabela1[[#This Row],[Origem]],'Perguntas 1 a 24'!$J$28:$K$34,2,FALSE)</f>
        <v>Nordeste</v>
      </c>
      <c r="E1364" s="90" t="s">
        <v>12703</v>
      </c>
      <c r="F1364" s="91">
        <v>46267</v>
      </c>
      <c r="G1364" s="92">
        <v>39206</v>
      </c>
      <c r="H1364" s="90" t="s">
        <v>11</v>
      </c>
      <c r="I13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64" s="90" t="s">
        <v>7869</v>
      </c>
    </row>
    <row r="1365" spans="1:11">
      <c r="A1365" s="90" t="s">
        <v>10807</v>
      </c>
      <c r="B1365" s="90" t="s">
        <v>10808</v>
      </c>
      <c r="C1365" s="90" t="s">
        <v>16</v>
      </c>
      <c r="D1365" s="90" t="str">
        <f>VLOOKUP(Tabela1[[#This Row],[Origem]],'Perguntas 1 a 24'!$J$28:$K$34,2,FALSE)</f>
        <v>Sudeste</v>
      </c>
      <c r="E1365" s="90" t="s">
        <v>12704</v>
      </c>
      <c r="F1365" s="91">
        <v>46267</v>
      </c>
      <c r="G1365" s="92">
        <v>77837</v>
      </c>
      <c r="H1365" s="90" t="s">
        <v>14</v>
      </c>
      <c r="I13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65" s="90" t="s">
        <v>10808</v>
      </c>
    </row>
    <row r="1366" spans="1:11">
      <c r="A1366" s="90" t="s">
        <v>6760</v>
      </c>
      <c r="B1366" s="90" t="s">
        <v>6761</v>
      </c>
      <c r="C1366" s="90" t="s">
        <v>10</v>
      </c>
      <c r="D1366" s="90" t="str">
        <f>VLOOKUP(Tabela1[[#This Row],[Origem]],'Perguntas 1 a 24'!$J$28:$K$34,2,FALSE)</f>
        <v>Centro-Oeste</v>
      </c>
      <c r="E1366" s="90" t="s">
        <v>12705</v>
      </c>
      <c r="F1366" s="91">
        <v>46268</v>
      </c>
      <c r="G1366" s="92">
        <v>70310</v>
      </c>
      <c r="H1366" s="90" t="s">
        <v>7</v>
      </c>
      <c r="I13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66" s="90" t="s">
        <v>6761</v>
      </c>
    </row>
    <row r="1367" spans="1:11">
      <c r="A1367" s="90" t="s">
        <v>4419</v>
      </c>
      <c r="B1367" s="90" t="s">
        <v>4420</v>
      </c>
      <c r="C1367" s="90" t="s">
        <v>6</v>
      </c>
      <c r="D1367" s="90" t="str">
        <f>VLOOKUP(Tabela1[[#This Row],[Origem]],'Perguntas 1 a 24'!$J$28:$K$34,2,FALSE)</f>
        <v>Nordeste</v>
      </c>
      <c r="E1367" s="90" t="s">
        <v>12706</v>
      </c>
      <c r="F1367" s="91">
        <v>46269</v>
      </c>
      <c r="G1367" s="92">
        <v>20843</v>
      </c>
      <c r="H1367" s="90" t="s">
        <v>14</v>
      </c>
      <c r="I13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67" s="90" t="s">
        <v>4420</v>
      </c>
    </row>
    <row r="1368" spans="1:11">
      <c r="A1368" s="90" t="s">
        <v>6106</v>
      </c>
      <c r="B1368" s="90" t="s">
        <v>6107</v>
      </c>
      <c r="C1368" s="90" t="s">
        <v>12</v>
      </c>
      <c r="D1368" s="90" t="str">
        <f>VLOOKUP(Tabela1[[#This Row],[Origem]],'Perguntas 1 a 24'!$J$28:$K$34,2,FALSE)</f>
        <v>Sudeste</v>
      </c>
      <c r="E1368" s="90" t="s">
        <v>12707</v>
      </c>
      <c r="F1368" s="91">
        <v>46269</v>
      </c>
      <c r="G1368" s="92">
        <v>74340</v>
      </c>
      <c r="H1368" s="90" t="s">
        <v>14</v>
      </c>
      <c r="I13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68" s="90" t="s">
        <v>6107</v>
      </c>
    </row>
    <row r="1369" spans="1:11">
      <c r="A1369" s="90" t="s">
        <v>10933</v>
      </c>
      <c r="B1369" s="90" t="s">
        <v>10934</v>
      </c>
      <c r="C1369" s="90" t="s">
        <v>8</v>
      </c>
      <c r="D1369" s="90" t="str">
        <f>VLOOKUP(Tabela1[[#This Row],[Origem]],'Perguntas 1 a 24'!$J$28:$K$34,2,FALSE)</f>
        <v>Nordeste</v>
      </c>
      <c r="E1369" s="90" t="s">
        <v>12708</v>
      </c>
      <c r="F1369" s="91">
        <v>46269</v>
      </c>
      <c r="G1369" s="92">
        <v>89260</v>
      </c>
      <c r="H1369" s="90" t="s">
        <v>14</v>
      </c>
      <c r="I13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69" s="90" t="s">
        <v>10934</v>
      </c>
    </row>
    <row r="1370" spans="1:11">
      <c r="A1370" s="90" t="s">
        <v>10907</v>
      </c>
      <c r="B1370" s="90" t="s">
        <v>10908</v>
      </c>
      <c r="C1370" s="90" t="s">
        <v>10</v>
      </c>
      <c r="D1370" s="90" t="str">
        <f>VLOOKUP(Tabela1[[#This Row],[Origem]],'Perguntas 1 a 24'!$J$28:$K$34,2,FALSE)</f>
        <v>Centro-Oeste</v>
      </c>
      <c r="E1370" s="90" t="s">
        <v>12709</v>
      </c>
      <c r="F1370" s="91">
        <v>46270</v>
      </c>
      <c r="G1370" s="92">
        <v>20970</v>
      </c>
      <c r="H1370" s="90" t="s">
        <v>9</v>
      </c>
      <c r="I13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70" s="90" t="s">
        <v>10908</v>
      </c>
    </row>
    <row r="1371" spans="1:11">
      <c r="A1371" s="90" t="s">
        <v>4331</v>
      </c>
      <c r="B1371" s="90" t="s">
        <v>4332</v>
      </c>
      <c r="C1371" s="90" t="s">
        <v>8</v>
      </c>
      <c r="D1371" s="90" t="str">
        <f>VLOOKUP(Tabela1[[#This Row],[Origem]],'Perguntas 1 a 24'!$J$28:$K$34,2,FALSE)</f>
        <v>Nordeste</v>
      </c>
      <c r="E1371" s="90" t="s">
        <v>12710</v>
      </c>
      <c r="F1371" s="91">
        <v>46271</v>
      </c>
      <c r="G1371" s="92">
        <v>93597</v>
      </c>
      <c r="H1371" s="90" t="s">
        <v>7</v>
      </c>
      <c r="I13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71" s="90" t="s">
        <v>4332</v>
      </c>
    </row>
    <row r="1372" spans="1:11">
      <c r="A1372" s="90" t="s">
        <v>5564</v>
      </c>
      <c r="B1372" s="90" t="s">
        <v>5565</v>
      </c>
      <c r="C1372" s="90" t="s">
        <v>6</v>
      </c>
      <c r="D1372" s="90" t="str">
        <f>VLOOKUP(Tabela1[[#This Row],[Origem]],'Perguntas 1 a 24'!$J$28:$K$34,2,FALSE)</f>
        <v>Nordeste</v>
      </c>
      <c r="E1372" s="90" t="s">
        <v>12711</v>
      </c>
      <c r="F1372" s="91">
        <v>46271</v>
      </c>
      <c r="G1372" s="92">
        <v>55729</v>
      </c>
      <c r="H1372" s="90" t="s">
        <v>9</v>
      </c>
      <c r="I13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72" s="90" t="s">
        <v>5565</v>
      </c>
    </row>
    <row r="1373" spans="1:11">
      <c r="A1373" s="90" t="s">
        <v>7642</v>
      </c>
      <c r="B1373" s="90" t="s">
        <v>7643</v>
      </c>
      <c r="C1373" s="90" t="s">
        <v>6</v>
      </c>
      <c r="D1373" s="90" t="str">
        <f>VLOOKUP(Tabela1[[#This Row],[Origem]],'Perguntas 1 a 24'!$J$28:$K$34,2,FALSE)</f>
        <v>Nordeste</v>
      </c>
      <c r="E1373" s="90" t="s">
        <v>12712</v>
      </c>
      <c r="F1373" s="91">
        <v>46271</v>
      </c>
      <c r="G1373" s="92">
        <v>91945</v>
      </c>
      <c r="H1373" s="90" t="s">
        <v>9</v>
      </c>
      <c r="I13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73" s="90" t="s">
        <v>7643</v>
      </c>
    </row>
    <row r="1374" spans="1:11">
      <c r="A1374" s="90" t="s">
        <v>8064</v>
      </c>
      <c r="B1374" s="90" t="s">
        <v>8065</v>
      </c>
      <c r="C1374" s="90" t="s">
        <v>8</v>
      </c>
      <c r="D1374" s="90" t="str">
        <f>VLOOKUP(Tabela1[[#This Row],[Origem]],'Perguntas 1 a 24'!$J$28:$K$34,2,FALSE)</f>
        <v>Nordeste</v>
      </c>
      <c r="E1374" s="90" t="s">
        <v>12713</v>
      </c>
      <c r="F1374" s="91">
        <v>46271</v>
      </c>
      <c r="G1374" s="92">
        <v>24049</v>
      </c>
      <c r="H1374" s="90" t="s">
        <v>11</v>
      </c>
      <c r="I13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74" s="90" t="s">
        <v>8065</v>
      </c>
    </row>
    <row r="1375" spans="1:11">
      <c r="A1375" s="90" t="s">
        <v>4016</v>
      </c>
      <c r="B1375" s="90" t="s">
        <v>4017</v>
      </c>
      <c r="C1375" s="90" t="s">
        <v>15</v>
      </c>
      <c r="D1375" s="90" t="str">
        <f>VLOOKUP(Tabela1[[#This Row],[Origem]],'Perguntas 1 a 24'!$J$28:$K$34,2,FALSE)</f>
        <v>Sudeste</v>
      </c>
      <c r="E1375" s="90" t="s">
        <v>12714</v>
      </c>
      <c r="F1375" s="91">
        <v>46272</v>
      </c>
      <c r="G1375" s="92">
        <v>70626</v>
      </c>
      <c r="H1375" s="90" t="s">
        <v>7</v>
      </c>
      <c r="I13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75" s="90" t="s">
        <v>4017</v>
      </c>
    </row>
    <row r="1376" spans="1:11">
      <c r="A1376" s="90" t="s">
        <v>6848</v>
      </c>
      <c r="B1376" s="90" t="s">
        <v>6849</v>
      </c>
      <c r="C1376" s="90" t="s">
        <v>12</v>
      </c>
      <c r="D1376" s="90" t="str">
        <f>VLOOKUP(Tabela1[[#This Row],[Origem]],'Perguntas 1 a 24'!$J$28:$K$34,2,FALSE)</f>
        <v>Sudeste</v>
      </c>
      <c r="E1376" s="90" t="s">
        <v>12715</v>
      </c>
      <c r="F1376" s="91">
        <v>46272</v>
      </c>
      <c r="G1376" s="92">
        <v>92885</v>
      </c>
      <c r="H1376" s="90" t="s">
        <v>14</v>
      </c>
      <c r="I13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76" s="90" t="s">
        <v>6849</v>
      </c>
    </row>
    <row r="1377" spans="1:11">
      <c r="A1377" s="90" t="s">
        <v>9943</v>
      </c>
      <c r="B1377" s="90" t="s">
        <v>9944</v>
      </c>
      <c r="C1377" s="90" t="s">
        <v>10</v>
      </c>
      <c r="D1377" s="90" t="str">
        <f>VLOOKUP(Tabela1[[#This Row],[Origem]],'Perguntas 1 a 24'!$J$28:$K$34,2,FALSE)</f>
        <v>Centro-Oeste</v>
      </c>
      <c r="E1377" s="90" t="s">
        <v>12716</v>
      </c>
      <c r="F1377" s="91">
        <v>46272</v>
      </c>
      <c r="G1377" s="92">
        <v>106508</v>
      </c>
      <c r="H1377" s="90" t="s">
        <v>14</v>
      </c>
      <c r="I13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77" s="90" t="s">
        <v>9944</v>
      </c>
    </row>
    <row r="1378" spans="1:11">
      <c r="A1378" s="90" t="s">
        <v>3902</v>
      </c>
      <c r="B1378" s="90" t="s">
        <v>3903</v>
      </c>
      <c r="C1378" s="90" t="s">
        <v>8</v>
      </c>
      <c r="D1378" s="90" t="str">
        <f>VLOOKUP(Tabela1[[#This Row],[Origem]],'Perguntas 1 a 24'!$J$28:$K$34,2,FALSE)</f>
        <v>Nordeste</v>
      </c>
      <c r="E1378" s="90" t="s">
        <v>12717</v>
      </c>
      <c r="F1378" s="91">
        <v>46273</v>
      </c>
      <c r="G1378" s="92">
        <v>58022</v>
      </c>
      <c r="H1378" s="90" t="s">
        <v>7</v>
      </c>
      <c r="I13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78" s="90" t="s">
        <v>3903</v>
      </c>
    </row>
    <row r="1379" spans="1:11">
      <c r="A1379" s="90" t="s">
        <v>5654</v>
      </c>
      <c r="B1379" s="90" t="s">
        <v>5655</v>
      </c>
      <c r="C1379" s="90" t="s">
        <v>8</v>
      </c>
      <c r="D1379" s="90" t="str">
        <f>VLOOKUP(Tabela1[[#This Row],[Origem]],'Perguntas 1 a 24'!$J$28:$K$34,2,FALSE)</f>
        <v>Nordeste</v>
      </c>
      <c r="E1379" s="90" t="s">
        <v>12718</v>
      </c>
      <c r="F1379" s="91">
        <v>46273</v>
      </c>
      <c r="G1379" s="92">
        <v>70153</v>
      </c>
      <c r="H1379" s="90" t="s">
        <v>9</v>
      </c>
      <c r="I13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79" s="90" t="s">
        <v>5655</v>
      </c>
    </row>
    <row r="1380" spans="1:11">
      <c r="A1380" s="90" t="s">
        <v>6262</v>
      </c>
      <c r="B1380" s="90" t="s">
        <v>6263</v>
      </c>
      <c r="C1380" s="90" t="s">
        <v>10</v>
      </c>
      <c r="D1380" s="90" t="str">
        <f>VLOOKUP(Tabela1[[#This Row],[Origem]],'Perguntas 1 a 24'!$J$28:$K$34,2,FALSE)</f>
        <v>Centro-Oeste</v>
      </c>
      <c r="E1380" s="90" t="s">
        <v>12719</v>
      </c>
      <c r="F1380" s="91">
        <v>46273</v>
      </c>
      <c r="G1380" s="92">
        <v>35151</v>
      </c>
      <c r="H1380" s="90" t="s">
        <v>9</v>
      </c>
      <c r="I13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80" s="90" t="s">
        <v>6263</v>
      </c>
    </row>
    <row r="1381" spans="1:11">
      <c r="A1381" s="90" t="s">
        <v>7258</v>
      </c>
      <c r="B1381" s="90" t="s">
        <v>7259</v>
      </c>
      <c r="C1381" s="90" t="s">
        <v>13</v>
      </c>
      <c r="D1381" s="90" t="str">
        <f>VLOOKUP(Tabela1[[#This Row],[Origem]],'Perguntas 1 a 24'!$J$28:$K$34,2,FALSE)</f>
        <v>Sudeste</v>
      </c>
      <c r="E1381" s="90" t="s">
        <v>12720</v>
      </c>
      <c r="F1381" s="91">
        <v>46273</v>
      </c>
      <c r="G1381" s="92">
        <v>102561</v>
      </c>
      <c r="H1381" s="90" t="s">
        <v>14</v>
      </c>
      <c r="I13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81" s="90" t="s">
        <v>7259</v>
      </c>
    </row>
    <row r="1382" spans="1:11">
      <c r="A1382" s="90" t="s">
        <v>4980</v>
      </c>
      <c r="B1382" s="90" t="s">
        <v>4981</v>
      </c>
      <c r="C1382" s="90" t="s">
        <v>13</v>
      </c>
      <c r="D1382" s="90" t="str">
        <f>VLOOKUP(Tabela1[[#This Row],[Origem]],'Perguntas 1 a 24'!$J$28:$K$34,2,FALSE)</f>
        <v>Sudeste</v>
      </c>
      <c r="E1382" s="90" t="s">
        <v>12721</v>
      </c>
      <c r="F1382" s="91">
        <v>46274</v>
      </c>
      <c r="G1382" s="92">
        <v>90733</v>
      </c>
      <c r="H1382" s="90" t="s">
        <v>9</v>
      </c>
      <c r="I13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82" s="90" t="s">
        <v>4981</v>
      </c>
    </row>
    <row r="1383" spans="1:11">
      <c r="A1383" s="90" t="s">
        <v>9405</v>
      </c>
      <c r="B1383" s="90" t="s">
        <v>9406</v>
      </c>
      <c r="C1383" s="90" t="s">
        <v>16</v>
      </c>
      <c r="D1383" s="90" t="str">
        <f>VLOOKUP(Tabela1[[#This Row],[Origem]],'Perguntas 1 a 24'!$J$28:$K$34,2,FALSE)</f>
        <v>Sudeste</v>
      </c>
      <c r="E1383" s="90" t="s">
        <v>12722</v>
      </c>
      <c r="F1383" s="91">
        <v>46274</v>
      </c>
      <c r="G1383" s="92">
        <v>38877</v>
      </c>
      <c r="H1383" s="90" t="s">
        <v>9</v>
      </c>
      <c r="I13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83" s="90" t="s">
        <v>9406</v>
      </c>
    </row>
    <row r="1384" spans="1:11">
      <c r="A1384" s="90" t="s">
        <v>7564</v>
      </c>
      <c r="B1384" s="90" t="s">
        <v>7565</v>
      </c>
      <c r="C1384" s="90" t="s">
        <v>6</v>
      </c>
      <c r="D1384" s="90" t="str">
        <f>VLOOKUP(Tabela1[[#This Row],[Origem]],'Perguntas 1 a 24'!$J$28:$K$34,2,FALSE)</f>
        <v>Nordeste</v>
      </c>
      <c r="E1384" s="90" t="s">
        <v>12723</v>
      </c>
      <c r="F1384" s="91">
        <v>46275</v>
      </c>
      <c r="G1384" s="92">
        <v>74612</v>
      </c>
      <c r="H1384" s="90" t="s">
        <v>11</v>
      </c>
      <c r="I13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84" s="90" t="s">
        <v>7565</v>
      </c>
    </row>
    <row r="1385" spans="1:11">
      <c r="A1385" s="90" t="s">
        <v>9349</v>
      </c>
      <c r="B1385" s="90" t="s">
        <v>9350</v>
      </c>
      <c r="C1385" s="90" t="s">
        <v>15</v>
      </c>
      <c r="D1385" s="90" t="str">
        <f>VLOOKUP(Tabela1[[#This Row],[Origem]],'Perguntas 1 a 24'!$J$28:$K$34,2,FALSE)</f>
        <v>Sudeste</v>
      </c>
      <c r="E1385" s="90" t="s">
        <v>12724</v>
      </c>
      <c r="F1385" s="91">
        <v>46275</v>
      </c>
      <c r="G1385" s="92">
        <v>109168</v>
      </c>
      <c r="H1385" s="90" t="s">
        <v>14</v>
      </c>
      <c r="I13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85" s="90" t="s">
        <v>9350</v>
      </c>
    </row>
    <row r="1386" spans="1:11">
      <c r="A1386" s="90" t="s">
        <v>7586</v>
      </c>
      <c r="B1386" s="90" t="s">
        <v>7587</v>
      </c>
      <c r="C1386" s="90" t="s">
        <v>8</v>
      </c>
      <c r="D1386" s="90" t="str">
        <f>VLOOKUP(Tabela1[[#This Row],[Origem]],'Perguntas 1 a 24'!$J$28:$K$34,2,FALSE)</f>
        <v>Nordeste</v>
      </c>
      <c r="E1386" s="90" t="s">
        <v>12725</v>
      </c>
      <c r="F1386" s="91">
        <v>46276</v>
      </c>
      <c r="G1386" s="92">
        <v>27434</v>
      </c>
      <c r="H1386" s="90" t="s">
        <v>9</v>
      </c>
      <c r="I13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86" s="90" t="s">
        <v>7587</v>
      </c>
    </row>
    <row r="1387" spans="1:11">
      <c r="A1387" s="90" t="s">
        <v>10439</v>
      </c>
      <c r="B1387" s="90" t="s">
        <v>10440</v>
      </c>
      <c r="C1387" s="90" t="s">
        <v>15</v>
      </c>
      <c r="D1387" s="90" t="str">
        <f>VLOOKUP(Tabela1[[#This Row],[Origem]],'Perguntas 1 a 24'!$J$28:$K$34,2,FALSE)</f>
        <v>Sudeste</v>
      </c>
      <c r="E1387" s="90" t="s">
        <v>12726</v>
      </c>
      <c r="F1387" s="91">
        <v>46277</v>
      </c>
      <c r="G1387" s="92">
        <v>94200</v>
      </c>
      <c r="H1387" s="90" t="s">
        <v>9</v>
      </c>
      <c r="I13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87" s="90" t="s">
        <v>10440</v>
      </c>
    </row>
    <row r="1388" spans="1:11">
      <c r="A1388" s="90" t="s">
        <v>5950</v>
      </c>
      <c r="B1388" s="90" t="s">
        <v>5951</v>
      </c>
      <c r="C1388" s="90" t="s">
        <v>10</v>
      </c>
      <c r="D1388" s="90" t="str">
        <f>VLOOKUP(Tabela1[[#This Row],[Origem]],'Perguntas 1 a 24'!$J$28:$K$34,2,FALSE)</f>
        <v>Centro-Oeste</v>
      </c>
      <c r="E1388" s="90" t="s">
        <v>12727</v>
      </c>
      <c r="F1388" s="91">
        <v>46279</v>
      </c>
      <c r="G1388" s="92">
        <v>23413</v>
      </c>
      <c r="H1388" s="90" t="s">
        <v>7</v>
      </c>
      <c r="I13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88" s="90" t="s">
        <v>5951</v>
      </c>
    </row>
    <row r="1389" spans="1:11">
      <c r="A1389" s="90" t="s">
        <v>8094</v>
      </c>
      <c r="B1389" s="90" t="s">
        <v>8095</v>
      </c>
      <c r="C1389" s="90" t="s">
        <v>12</v>
      </c>
      <c r="D1389" s="90" t="str">
        <f>VLOOKUP(Tabela1[[#This Row],[Origem]],'Perguntas 1 a 24'!$J$28:$K$34,2,FALSE)</f>
        <v>Sudeste</v>
      </c>
      <c r="E1389" s="90" t="s">
        <v>12728</v>
      </c>
      <c r="F1389" s="91">
        <v>46279</v>
      </c>
      <c r="G1389" s="92">
        <v>52148</v>
      </c>
      <c r="H1389" s="90" t="s">
        <v>14</v>
      </c>
      <c r="I13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89" s="90" t="s">
        <v>8095</v>
      </c>
    </row>
    <row r="1390" spans="1:11">
      <c r="A1390" s="90" t="s">
        <v>10411</v>
      </c>
      <c r="B1390" s="90" t="s">
        <v>10412</v>
      </c>
      <c r="C1390" s="90" t="s">
        <v>8</v>
      </c>
      <c r="D1390" s="90" t="str">
        <f>VLOOKUP(Tabela1[[#This Row],[Origem]],'Perguntas 1 a 24'!$J$28:$K$34,2,FALSE)</f>
        <v>Nordeste</v>
      </c>
      <c r="E1390" s="90" t="s">
        <v>12729</v>
      </c>
      <c r="F1390" s="91">
        <v>46279</v>
      </c>
      <c r="G1390" s="92">
        <v>101893</v>
      </c>
      <c r="H1390" s="90" t="s">
        <v>11</v>
      </c>
      <c r="I13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90" s="90" t="s">
        <v>10412</v>
      </c>
    </row>
    <row r="1391" spans="1:11">
      <c r="A1391" s="90" t="s">
        <v>3932</v>
      </c>
      <c r="B1391" s="90" t="s">
        <v>3933</v>
      </c>
      <c r="C1391" s="90" t="s">
        <v>6</v>
      </c>
      <c r="D1391" s="90" t="str">
        <f>VLOOKUP(Tabela1[[#This Row],[Origem]],'Perguntas 1 a 24'!$J$28:$K$34,2,FALSE)</f>
        <v>Nordeste</v>
      </c>
      <c r="E1391" s="90" t="s">
        <v>12730</v>
      </c>
      <c r="F1391" s="91">
        <v>46281</v>
      </c>
      <c r="G1391" s="92">
        <v>102970</v>
      </c>
      <c r="H1391" s="90" t="s">
        <v>11</v>
      </c>
      <c r="I13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91" s="90" t="s">
        <v>3933</v>
      </c>
    </row>
    <row r="1392" spans="1:11">
      <c r="A1392" s="90" t="s">
        <v>4608</v>
      </c>
      <c r="B1392" s="90" t="s">
        <v>4609</v>
      </c>
      <c r="C1392" s="90" t="s">
        <v>8</v>
      </c>
      <c r="D1392" s="90" t="str">
        <f>VLOOKUP(Tabela1[[#This Row],[Origem]],'Perguntas 1 a 24'!$J$28:$K$34,2,FALSE)</f>
        <v>Nordeste</v>
      </c>
      <c r="E1392" s="90" t="s">
        <v>12731</v>
      </c>
      <c r="F1392" s="91">
        <v>46281</v>
      </c>
      <c r="G1392" s="92">
        <v>20563</v>
      </c>
      <c r="H1392" s="90" t="s">
        <v>14</v>
      </c>
      <c r="I13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92" s="90" t="s">
        <v>4609</v>
      </c>
    </row>
    <row r="1393" spans="1:11">
      <c r="A1393" s="90" t="s">
        <v>4684</v>
      </c>
      <c r="B1393" s="90" t="s">
        <v>4685</v>
      </c>
      <c r="C1393" s="90" t="s">
        <v>8</v>
      </c>
      <c r="D1393" s="90" t="str">
        <f>VLOOKUP(Tabela1[[#This Row],[Origem]],'Perguntas 1 a 24'!$J$28:$K$34,2,FALSE)</f>
        <v>Nordeste</v>
      </c>
      <c r="E1393" s="90" t="s">
        <v>12732</v>
      </c>
      <c r="F1393" s="91">
        <v>46281</v>
      </c>
      <c r="G1393" s="92">
        <v>73998</v>
      </c>
      <c r="H1393" s="90" t="s">
        <v>9</v>
      </c>
      <c r="I13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93" s="90" t="s">
        <v>4685</v>
      </c>
    </row>
    <row r="1394" spans="1:11">
      <c r="A1394" s="90" t="s">
        <v>5190</v>
      </c>
      <c r="B1394" s="90" t="s">
        <v>5191</v>
      </c>
      <c r="C1394" s="90" t="s">
        <v>16</v>
      </c>
      <c r="D1394" s="90" t="str">
        <f>VLOOKUP(Tabela1[[#This Row],[Origem]],'Perguntas 1 a 24'!$J$28:$K$34,2,FALSE)</f>
        <v>Sudeste</v>
      </c>
      <c r="E1394" s="90" t="s">
        <v>12733</v>
      </c>
      <c r="F1394" s="91">
        <v>46281</v>
      </c>
      <c r="G1394" s="92">
        <v>62722</v>
      </c>
      <c r="H1394" s="90" t="s">
        <v>7</v>
      </c>
      <c r="I13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94" s="90" t="s">
        <v>5191</v>
      </c>
    </row>
    <row r="1395" spans="1:11">
      <c r="A1395" s="90" t="s">
        <v>10065</v>
      </c>
      <c r="B1395" s="90" t="s">
        <v>10066</v>
      </c>
      <c r="C1395" s="90" t="s">
        <v>16</v>
      </c>
      <c r="D1395" s="90" t="str">
        <f>VLOOKUP(Tabela1[[#This Row],[Origem]],'Perguntas 1 a 24'!$J$28:$K$34,2,FALSE)</f>
        <v>Sudeste</v>
      </c>
      <c r="E1395" s="90" t="s">
        <v>12734</v>
      </c>
      <c r="F1395" s="91">
        <v>46281</v>
      </c>
      <c r="G1395" s="92">
        <v>109384</v>
      </c>
      <c r="H1395" s="90" t="s">
        <v>14</v>
      </c>
      <c r="I13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95" s="90" t="s">
        <v>10066</v>
      </c>
    </row>
    <row r="1396" spans="1:11">
      <c r="A1396" s="90" t="s">
        <v>7562</v>
      </c>
      <c r="B1396" s="90" t="s">
        <v>7563</v>
      </c>
      <c r="C1396" s="90" t="s">
        <v>6</v>
      </c>
      <c r="D1396" s="90" t="str">
        <f>VLOOKUP(Tabela1[[#This Row],[Origem]],'Perguntas 1 a 24'!$J$28:$K$34,2,FALSE)</f>
        <v>Nordeste</v>
      </c>
      <c r="E1396" s="90" t="s">
        <v>12735</v>
      </c>
      <c r="F1396" s="91">
        <v>46283</v>
      </c>
      <c r="G1396" s="92">
        <v>96474</v>
      </c>
      <c r="H1396" s="90" t="s">
        <v>9</v>
      </c>
      <c r="I13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96" s="90" t="s">
        <v>7563</v>
      </c>
    </row>
    <row r="1397" spans="1:11">
      <c r="A1397" s="90" t="s">
        <v>8196</v>
      </c>
      <c r="B1397" s="90" t="s">
        <v>8197</v>
      </c>
      <c r="C1397" s="90" t="s">
        <v>6</v>
      </c>
      <c r="D1397" s="90" t="str">
        <f>VLOOKUP(Tabela1[[#This Row],[Origem]],'Perguntas 1 a 24'!$J$28:$K$34,2,FALSE)</f>
        <v>Nordeste</v>
      </c>
      <c r="E1397" s="90" t="s">
        <v>12736</v>
      </c>
      <c r="F1397" s="91">
        <v>46284</v>
      </c>
      <c r="G1397" s="92">
        <v>96442</v>
      </c>
      <c r="H1397" s="90" t="s">
        <v>9</v>
      </c>
      <c r="I13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97" s="90" t="s">
        <v>8197</v>
      </c>
    </row>
    <row r="1398" spans="1:11">
      <c r="A1398" s="90" t="s">
        <v>8837</v>
      </c>
      <c r="B1398" s="90" t="s">
        <v>8838</v>
      </c>
      <c r="C1398" s="90" t="s">
        <v>6</v>
      </c>
      <c r="D1398" s="90" t="str">
        <f>VLOOKUP(Tabela1[[#This Row],[Origem]],'Perguntas 1 a 24'!$J$28:$K$34,2,FALSE)</f>
        <v>Nordeste</v>
      </c>
      <c r="E1398" s="90" t="s">
        <v>12737</v>
      </c>
      <c r="F1398" s="91">
        <v>46284</v>
      </c>
      <c r="G1398" s="92">
        <v>22769</v>
      </c>
      <c r="H1398" s="90" t="s">
        <v>7</v>
      </c>
      <c r="I13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398" s="90" t="s">
        <v>8838</v>
      </c>
    </row>
    <row r="1399" spans="1:11">
      <c r="A1399" s="90" t="s">
        <v>9773</v>
      </c>
      <c r="B1399" s="90" t="s">
        <v>9774</v>
      </c>
      <c r="C1399" s="90" t="s">
        <v>8</v>
      </c>
      <c r="D1399" s="90" t="str">
        <f>VLOOKUP(Tabela1[[#This Row],[Origem]],'Perguntas 1 a 24'!$J$28:$K$34,2,FALSE)</f>
        <v>Nordeste</v>
      </c>
      <c r="E1399" s="90" t="s">
        <v>12738</v>
      </c>
      <c r="F1399" s="91">
        <v>46286</v>
      </c>
      <c r="G1399" s="92">
        <v>57905</v>
      </c>
      <c r="H1399" s="90" t="s">
        <v>11</v>
      </c>
      <c r="I13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399" s="90" t="s">
        <v>9774</v>
      </c>
    </row>
    <row r="1400" spans="1:11">
      <c r="A1400" s="90" t="s">
        <v>9745</v>
      </c>
      <c r="B1400" s="90" t="s">
        <v>9746</v>
      </c>
      <c r="C1400" s="90" t="s">
        <v>16</v>
      </c>
      <c r="D1400" s="90" t="str">
        <f>VLOOKUP(Tabela1[[#This Row],[Origem]],'Perguntas 1 a 24'!$J$28:$K$34,2,FALSE)</f>
        <v>Sudeste</v>
      </c>
      <c r="E1400" s="90" t="s">
        <v>12739</v>
      </c>
      <c r="F1400" s="91">
        <v>46287</v>
      </c>
      <c r="G1400" s="92">
        <v>118558</v>
      </c>
      <c r="H1400" s="90" t="s">
        <v>7</v>
      </c>
      <c r="I14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00" s="90" t="s">
        <v>9746</v>
      </c>
    </row>
    <row r="1401" spans="1:11">
      <c r="A1401" s="90" t="s">
        <v>10819</v>
      </c>
      <c r="B1401" s="90" t="s">
        <v>10820</v>
      </c>
      <c r="C1401" s="90" t="s">
        <v>12</v>
      </c>
      <c r="D1401" s="90" t="str">
        <f>VLOOKUP(Tabela1[[#This Row],[Origem]],'Perguntas 1 a 24'!$J$28:$K$34,2,FALSE)</f>
        <v>Sudeste</v>
      </c>
      <c r="E1401" s="90" t="s">
        <v>12740</v>
      </c>
      <c r="F1401" s="91">
        <v>46288</v>
      </c>
      <c r="G1401" s="92">
        <v>36051</v>
      </c>
      <c r="H1401" s="90" t="s">
        <v>7</v>
      </c>
      <c r="I14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01" s="90" t="s">
        <v>10820</v>
      </c>
    </row>
    <row r="1402" spans="1:11">
      <c r="A1402" s="90" t="s">
        <v>5622</v>
      </c>
      <c r="B1402" s="90" t="s">
        <v>5623</v>
      </c>
      <c r="C1402" s="90" t="s">
        <v>15</v>
      </c>
      <c r="D1402" s="90" t="str">
        <f>VLOOKUP(Tabela1[[#This Row],[Origem]],'Perguntas 1 a 24'!$J$28:$K$34,2,FALSE)</f>
        <v>Sudeste</v>
      </c>
      <c r="E1402" s="90" t="s">
        <v>12741</v>
      </c>
      <c r="F1402" s="91">
        <v>46289</v>
      </c>
      <c r="G1402" s="92">
        <v>59923</v>
      </c>
      <c r="H1402" s="90" t="s">
        <v>11</v>
      </c>
      <c r="I14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02" s="90" t="s">
        <v>5623</v>
      </c>
    </row>
    <row r="1403" spans="1:11">
      <c r="A1403" s="90" t="s">
        <v>6786</v>
      </c>
      <c r="B1403" s="90" t="s">
        <v>6787</v>
      </c>
      <c r="C1403" s="90" t="s">
        <v>13</v>
      </c>
      <c r="D1403" s="90" t="str">
        <f>VLOOKUP(Tabela1[[#This Row],[Origem]],'Perguntas 1 a 24'!$J$28:$K$34,2,FALSE)</f>
        <v>Sudeste</v>
      </c>
      <c r="E1403" s="90" t="s">
        <v>12742</v>
      </c>
      <c r="F1403" s="91">
        <v>46289</v>
      </c>
      <c r="G1403" s="92">
        <v>81231</v>
      </c>
      <c r="H1403" s="90" t="s">
        <v>11</v>
      </c>
      <c r="I14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03" s="90" t="s">
        <v>6787</v>
      </c>
    </row>
    <row r="1404" spans="1:11">
      <c r="A1404" s="90" t="s">
        <v>4315</v>
      </c>
      <c r="B1404" s="90" t="s">
        <v>4316</v>
      </c>
      <c r="C1404" s="90" t="s">
        <v>12</v>
      </c>
      <c r="D1404" s="90" t="str">
        <f>VLOOKUP(Tabela1[[#This Row],[Origem]],'Perguntas 1 a 24'!$J$28:$K$34,2,FALSE)</f>
        <v>Sudeste</v>
      </c>
      <c r="E1404" s="90" t="s">
        <v>12743</v>
      </c>
      <c r="F1404" s="91">
        <v>46290</v>
      </c>
      <c r="G1404" s="92">
        <v>52604</v>
      </c>
      <c r="H1404" s="90" t="s">
        <v>9</v>
      </c>
      <c r="I14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04" s="90" t="s">
        <v>4316</v>
      </c>
    </row>
    <row r="1405" spans="1:11">
      <c r="A1405" s="90" t="s">
        <v>10479</v>
      </c>
      <c r="B1405" s="90" t="s">
        <v>10480</v>
      </c>
      <c r="C1405" s="90" t="s">
        <v>8</v>
      </c>
      <c r="D1405" s="90" t="str">
        <f>VLOOKUP(Tabela1[[#This Row],[Origem]],'Perguntas 1 a 24'!$J$28:$K$34,2,FALSE)</f>
        <v>Nordeste</v>
      </c>
      <c r="E1405" s="90" t="s">
        <v>12744</v>
      </c>
      <c r="F1405" s="91">
        <v>46290</v>
      </c>
      <c r="G1405" s="92">
        <v>73479</v>
      </c>
      <c r="H1405" s="90" t="s">
        <v>11</v>
      </c>
      <c r="I14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05" s="90" t="s">
        <v>10480</v>
      </c>
    </row>
    <row r="1406" spans="1:11">
      <c r="A1406" s="90" t="s">
        <v>7968</v>
      </c>
      <c r="B1406" s="90" t="s">
        <v>7969</v>
      </c>
      <c r="C1406" s="90" t="s">
        <v>13</v>
      </c>
      <c r="D1406" s="90" t="str">
        <f>VLOOKUP(Tabela1[[#This Row],[Origem]],'Perguntas 1 a 24'!$J$28:$K$34,2,FALSE)</f>
        <v>Sudeste</v>
      </c>
      <c r="E1406" s="90" t="s">
        <v>12745</v>
      </c>
      <c r="F1406" s="91">
        <v>46291</v>
      </c>
      <c r="G1406" s="92">
        <v>96554</v>
      </c>
      <c r="H1406" s="90" t="s">
        <v>7</v>
      </c>
      <c r="I14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06" s="90" t="s">
        <v>7969</v>
      </c>
    </row>
    <row r="1407" spans="1:11">
      <c r="A1407" s="90" t="s">
        <v>10309</v>
      </c>
      <c r="B1407" s="90" t="s">
        <v>10310</v>
      </c>
      <c r="C1407" s="90" t="s">
        <v>6</v>
      </c>
      <c r="D1407" s="90" t="str">
        <f>VLOOKUP(Tabela1[[#This Row],[Origem]],'Perguntas 1 a 24'!$J$28:$K$34,2,FALSE)</f>
        <v>Nordeste</v>
      </c>
      <c r="E1407" s="90" t="s">
        <v>12746</v>
      </c>
      <c r="F1407" s="91">
        <v>46291</v>
      </c>
      <c r="G1407" s="92">
        <v>41866</v>
      </c>
      <c r="H1407" s="90" t="s">
        <v>7</v>
      </c>
      <c r="I14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07" s="90" t="s">
        <v>10310</v>
      </c>
    </row>
    <row r="1408" spans="1:11">
      <c r="A1408" s="90" t="s">
        <v>10325</v>
      </c>
      <c r="B1408" s="90" t="s">
        <v>10326</v>
      </c>
      <c r="C1408" s="90" t="s">
        <v>8</v>
      </c>
      <c r="D1408" s="90" t="str">
        <f>VLOOKUP(Tabela1[[#This Row],[Origem]],'Perguntas 1 a 24'!$J$28:$K$34,2,FALSE)</f>
        <v>Nordeste</v>
      </c>
      <c r="E1408" s="90" t="s">
        <v>12747</v>
      </c>
      <c r="F1408" s="91">
        <v>46291</v>
      </c>
      <c r="G1408" s="92">
        <v>54518</v>
      </c>
      <c r="H1408" s="90" t="s">
        <v>11</v>
      </c>
      <c r="I14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08" s="90" t="s">
        <v>10326</v>
      </c>
    </row>
    <row r="1409" spans="1:11">
      <c r="A1409" s="90" t="s">
        <v>11295</v>
      </c>
      <c r="B1409" s="90" t="s">
        <v>11296</v>
      </c>
      <c r="C1409" s="90" t="s">
        <v>16</v>
      </c>
      <c r="D1409" s="90" t="str">
        <f>VLOOKUP(Tabela1[[#This Row],[Origem]],'Perguntas 1 a 24'!$J$28:$K$34,2,FALSE)</f>
        <v>Sudeste</v>
      </c>
      <c r="E1409" s="90" t="s">
        <v>12748</v>
      </c>
      <c r="F1409" s="91">
        <v>46291</v>
      </c>
      <c r="G1409" s="92">
        <v>101870</v>
      </c>
      <c r="H1409" s="90" t="s">
        <v>9</v>
      </c>
      <c r="I14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09" s="90" t="s">
        <v>11296</v>
      </c>
    </row>
    <row r="1410" spans="1:11">
      <c r="A1410" s="90" t="s">
        <v>9291</v>
      </c>
      <c r="B1410" s="90" t="s">
        <v>9292</v>
      </c>
      <c r="C1410" s="90" t="s">
        <v>15</v>
      </c>
      <c r="D1410" s="90" t="str">
        <f>VLOOKUP(Tabela1[[#This Row],[Origem]],'Perguntas 1 a 24'!$J$28:$K$34,2,FALSE)</f>
        <v>Sudeste</v>
      </c>
      <c r="E1410" s="90" t="s">
        <v>12749</v>
      </c>
      <c r="F1410" s="91">
        <v>46292</v>
      </c>
      <c r="G1410" s="92">
        <v>50089</v>
      </c>
      <c r="H1410" s="90" t="s">
        <v>7</v>
      </c>
      <c r="I14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10" s="90" t="s">
        <v>9292</v>
      </c>
    </row>
    <row r="1411" spans="1:11">
      <c r="A1411" s="90" t="s">
        <v>4197</v>
      </c>
      <c r="B1411" s="90" t="s">
        <v>4198</v>
      </c>
      <c r="C1411" s="90" t="s">
        <v>16</v>
      </c>
      <c r="D1411" s="90" t="str">
        <f>VLOOKUP(Tabela1[[#This Row],[Origem]],'Perguntas 1 a 24'!$J$28:$K$34,2,FALSE)</f>
        <v>Sudeste</v>
      </c>
      <c r="E1411" s="90" t="s">
        <v>12750</v>
      </c>
      <c r="F1411" s="91">
        <v>46293</v>
      </c>
      <c r="G1411" s="92">
        <v>92126</v>
      </c>
      <c r="H1411" s="90" t="s">
        <v>14</v>
      </c>
      <c r="I14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11" s="90" t="s">
        <v>4198</v>
      </c>
    </row>
    <row r="1412" spans="1:11">
      <c r="A1412" s="90" t="s">
        <v>6598</v>
      </c>
      <c r="B1412" s="90" t="s">
        <v>6599</v>
      </c>
      <c r="C1412" s="90" t="s">
        <v>16</v>
      </c>
      <c r="D1412" s="90" t="str">
        <f>VLOOKUP(Tabela1[[#This Row],[Origem]],'Perguntas 1 a 24'!$J$28:$K$34,2,FALSE)</f>
        <v>Sudeste</v>
      </c>
      <c r="E1412" s="90" t="s">
        <v>12751</v>
      </c>
      <c r="F1412" s="91">
        <v>46293</v>
      </c>
      <c r="G1412" s="92">
        <v>22411</v>
      </c>
      <c r="H1412" s="90" t="s">
        <v>7</v>
      </c>
      <c r="I14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12" s="90" t="s">
        <v>6599</v>
      </c>
    </row>
    <row r="1413" spans="1:11">
      <c r="A1413" s="90" t="s">
        <v>7430</v>
      </c>
      <c r="B1413" s="90" t="s">
        <v>7431</v>
      </c>
      <c r="C1413" s="90" t="s">
        <v>10</v>
      </c>
      <c r="D1413" s="90" t="str">
        <f>VLOOKUP(Tabela1[[#This Row],[Origem]],'Perguntas 1 a 24'!$J$28:$K$34,2,FALSE)</f>
        <v>Centro-Oeste</v>
      </c>
      <c r="E1413" s="90" t="s">
        <v>12752</v>
      </c>
      <c r="F1413" s="91">
        <v>46293</v>
      </c>
      <c r="G1413" s="92">
        <v>39654</v>
      </c>
      <c r="H1413" s="90" t="s">
        <v>11</v>
      </c>
      <c r="I14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13" s="90" t="s">
        <v>7431</v>
      </c>
    </row>
    <row r="1414" spans="1:11">
      <c r="A1414" s="90" t="s">
        <v>9361</v>
      </c>
      <c r="B1414" s="90" t="s">
        <v>9362</v>
      </c>
      <c r="C1414" s="90" t="s">
        <v>15</v>
      </c>
      <c r="D1414" s="90" t="str">
        <f>VLOOKUP(Tabela1[[#This Row],[Origem]],'Perguntas 1 a 24'!$J$28:$K$34,2,FALSE)</f>
        <v>Sudeste</v>
      </c>
      <c r="E1414" s="90" t="s">
        <v>12753</v>
      </c>
      <c r="F1414" s="91">
        <v>46293</v>
      </c>
      <c r="G1414" s="92">
        <v>111427</v>
      </c>
      <c r="H1414" s="90" t="s">
        <v>11</v>
      </c>
      <c r="I14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14" s="90" t="s">
        <v>9362</v>
      </c>
    </row>
    <row r="1415" spans="1:11">
      <c r="A1415" s="90" t="s">
        <v>3864</v>
      </c>
      <c r="B1415" s="90" t="s">
        <v>3865</v>
      </c>
      <c r="C1415" s="90" t="s">
        <v>15</v>
      </c>
      <c r="D1415" s="90" t="str">
        <f>VLOOKUP(Tabela1[[#This Row],[Origem]],'Perguntas 1 a 24'!$J$28:$K$34,2,FALSE)</f>
        <v>Sudeste</v>
      </c>
      <c r="E1415" s="90" t="s">
        <v>12754</v>
      </c>
      <c r="F1415" s="91">
        <v>46295</v>
      </c>
      <c r="G1415" s="92">
        <v>42833</v>
      </c>
      <c r="H1415" s="90" t="s">
        <v>11</v>
      </c>
      <c r="I14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15" s="90" t="s">
        <v>3865</v>
      </c>
    </row>
    <row r="1416" spans="1:11">
      <c r="A1416" s="90" t="s">
        <v>5268</v>
      </c>
      <c r="B1416" s="90" t="s">
        <v>5269</v>
      </c>
      <c r="C1416" s="90" t="s">
        <v>13</v>
      </c>
      <c r="D1416" s="90" t="str">
        <f>VLOOKUP(Tabela1[[#This Row],[Origem]],'Perguntas 1 a 24'!$J$28:$K$34,2,FALSE)</f>
        <v>Sudeste</v>
      </c>
      <c r="E1416" s="90" t="s">
        <v>12755</v>
      </c>
      <c r="F1416" s="91">
        <v>46295</v>
      </c>
      <c r="G1416" s="92">
        <v>44161</v>
      </c>
      <c r="H1416" s="90" t="s">
        <v>7</v>
      </c>
      <c r="I14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16" s="90" t="s">
        <v>5269</v>
      </c>
    </row>
    <row r="1417" spans="1:11">
      <c r="A1417" s="90" t="s">
        <v>4265</v>
      </c>
      <c r="B1417" s="90" t="s">
        <v>4266</v>
      </c>
      <c r="C1417" s="90" t="s">
        <v>13</v>
      </c>
      <c r="D1417" s="90" t="str">
        <f>VLOOKUP(Tabela1[[#This Row],[Origem]],'Perguntas 1 a 24'!$J$28:$K$34,2,FALSE)</f>
        <v>Sudeste</v>
      </c>
      <c r="E1417" s="90" t="s">
        <v>12756</v>
      </c>
      <c r="F1417" s="91">
        <v>46296</v>
      </c>
      <c r="G1417" s="92">
        <v>97501</v>
      </c>
      <c r="H1417" s="90" t="s">
        <v>14</v>
      </c>
      <c r="I14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17" s="90" t="s">
        <v>4266</v>
      </c>
    </row>
    <row r="1418" spans="1:11">
      <c r="A1418" s="90" t="s">
        <v>4762</v>
      </c>
      <c r="B1418" s="90" t="s">
        <v>4763</v>
      </c>
      <c r="C1418" s="90" t="s">
        <v>6</v>
      </c>
      <c r="D1418" s="90" t="str">
        <f>VLOOKUP(Tabela1[[#This Row],[Origem]],'Perguntas 1 a 24'!$J$28:$K$34,2,FALSE)</f>
        <v>Nordeste</v>
      </c>
      <c r="E1418" s="90" t="s">
        <v>12757</v>
      </c>
      <c r="F1418" s="91">
        <v>46297</v>
      </c>
      <c r="G1418" s="92">
        <v>82479</v>
      </c>
      <c r="H1418" s="90" t="s">
        <v>7</v>
      </c>
      <c r="I14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18" s="90" t="s">
        <v>4763</v>
      </c>
    </row>
    <row r="1419" spans="1:11">
      <c r="A1419" s="90" t="s">
        <v>10421</v>
      </c>
      <c r="B1419" s="90" t="s">
        <v>10422</v>
      </c>
      <c r="C1419" s="90" t="s">
        <v>13</v>
      </c>
      <c r="D1419" s="90" t="str">
        <f>VLOOKUP(Tabela1[[#This Row],[Origem]],'Perguntas 1 a 24'!$J$28:$K$34,2,FALSE)</f>
        <v>Sudeste</v>
      </c>
      <c r="E1419" s="90" t="s">
        <v>12758</v>
      </c>
      <c r="F1419" s="91">
        <v>46297</v>
      </c>
      <c r="G1419" s="92">
        <v>113730</v>
      </c>
      <c r="H1419" s="90" t="s">
        <v>7</v>
      </c>
      <c r="I14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19" s="90" t="s">
        <v>10422</v>
      </c>
    </row>
    <row r="1420" spans="1:11">
      <c r="A1420" s="90" t="s">
        <v>4966</v>
      </c>
      <c r="B1420" s="90" t="s">
        <v>4967</v>
      </c>
      <c r="C1420" s="90" t="s">
        <v>8</v>
      </c>
      <c r="D1420" s="90" t="str">
        <f>VLOOKUP(Tabela1[[#This Row],[Origem]],'Perguntas 1 a 24'!$J$28:$K$34,2,FALSE)</f>
        <v>Nordeste</v>
      </c>
      <c r="E1420" s="90" t="s">
        <v>12759</v>
      </c>
      <c r="F1420" s="91">
        <v>46298</v>
      </c>
      <c r="G1420" s="92">
        <v>72403</v>
      </c>
      <c r="H1420" s="90" t="s">
        <v>11</v>
      </c>
      <c r="I14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20" s="90" t="s">
        <v>4967</v>
      </c>
    </row>
    <row r="1421" spans="1:11">
      <c r="A1421" s="90" t="s">
        <v>7202</v>
      </c>
      <c r="B1421" s="90" t="s">
        <v>7203</v>
      </c>
      <c r="C1421" s="90" t="s">
        <v>13</v>
      </c>
      <c r="D1421" s="90" t="str">
        <f>VLOOKUP(Tabela1[[#This Row],[Origem]],'Perguntas 1 a 24'!$J$28:$K$34,2,FALSE)</f>
        <v>Sudeste</v>
      </c>
      <c r="E1421" s="90" t="s">
        <v>12760</v>
      </c>
      <c r="F1421" s="91">
        <v>46298</v>
      </c>
      <c r="G1421" s="92">
        <v>83084</v>
      </c>
      <c r="H1421" s="90" t="s">
        <v>11</v>
      </c>
      <c r="I14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21" s="90" t="s">
        <v>7203</v>
      </c>
    </row>
    <row r="1422" spans="1:11">
      <c r="A1422" s="90" t="s">
        <v>4538</v>
      </c>
      <c r="B1422" s="90" t="s">
        <v>4539</v>
      </c>
      <c r="C1422" s="90" t="s">
        <v>10</v>
      </c>
      <c r="D1422" s="90" t="str">
        <f>VLOOKUP(Tabela1[[#This Row],[Origem]],'Perguntas 1 a 24'!$J$28:$K$34,2,FALSE)</f>
        <v>Centro-Oeste</v>
      </c>
      <c r="E1422" s="90" t="s">
        <v>12761</v>
      </c>
      <c r="F1422" s="91">
        <v>46302</v>
      </c>
      <c r="G1422" s="92">
        <v>109080</v>
      </c>
      <c r="H1422" s="90" t="s">
        <v>14</v>
      </c>
      <c r="I14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22" s="90" t="s">
        <v>4539</v>
      </c>
    </row>
    <row r="1423" spans="1:11">
      <c r="A1423" s="90" t="s">
        <v>8683</v>
      </c>
      <c r="B1423" s="90" t="s">
        <v>8684</v>
      </c>
      <c r="C1423" s="90" t="s">
        <v>13</v>
      </c>
      <c r="D1423" s="90" t="str">
        <f>VLOOKUP(Tabela1[[#This Row],[Origem]],'Perguntas 1 a 24'!$J$28:$K$34,2,FALSE)</f>
        <v>Sudeste</v>
      </c>
      <c r="E1423" s="90" t="s">
        <v>12762</v>
      </c>
      <c r="F1423" s="91">
        <v>46302</v>
      </c>
      <c r="G1423" s="92">
        <v>112360</v>
      </c>
      <c r="H1423" s="90" t="s">
        <v>7</v>
      </c>
      <c r="I14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23" s="90" t="s">
        <v>8684</v>
      </c>
    </row>
    <row r="1424" spans="1:11">
      <c r="A1424" s="90" t="s">
        <v>6514</v>
      </c>
      <c r="B1424" s="90" t="s">
        <v>6515</v>
      </c>
      <c r="C1424" s="90" t="s">
        <v>13</v>
      </c>
      <c r="D1424" s="90" t="str">
        <f>VLOOKUP(Tabela1[[#This Row],[Origem]],'Perguntas 1 a 24'!$J$28:$K$34,2,FALSE)</f>
        <v>Sudeste</v>
      </c>
      <c r="E1424" s="90" t="s">
        <v>12763</v>
      </c>
      <c r="F1424" s="91">
        <v>46303</v>
      </c>
      <c r="G1424" s="92">
        <v>111946</v>
      </c>
      <c r="H1424" s="90" t="s">
        <v>7</v>
      </c>
      <c r="I14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24" s="90" t="s">
        <v>6515</v>
      </c>
    </row>
    <row r="1425" spans="1:11">
      <c r="A1425" s="90" t="s">
        <v>9577</v>
      </c>
      <c r="B1425" s="90" t="s">
        <v>9578</v>
      </c>
      <c r="C1425" s="90" t="s">
        <v>8</v>
      </c>
      <c r="D1425" s="90" t="str">
        <f>VLOOKUP(Tabela1[[#This Row],[Origem]],'Perguntas 1 a 24'!$J$28:$K$34,2,FALSE)</f>
        <v>Nordeste</v>
      </c>
      <c r="E1425" s="90" t="s">
        <v>12764</v>
      </c>
      <c r="F1425" s="91">
        <v>46304</v>
      </c>
      <c r="G1425" s="92">
        <v>119188</v>
      </c>
      <c r="H1425" s="90" t="s">
        <v>11</v>
      </c>
      <c r="I14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25" s="90" t="s">
        <v>9578</v>
      </c>
    </row>
    <row r="1426" spans="1:11">
      <c r="A1426" s="90" t="s">
        <v>10581</v>
      </c>
      <c r="B1426" s="90" t="s">
        <v>10582</v>
      </c>
      <c r="C1426" s="90" t="s">
        <v>12</v>
      </c>
      <c r="D1426" s="90" t="str">
        <f>VLOOKUP(Tabela1[[#This Row],[Origem]],'Perguntas 1 a 24'!$J$28:$K$34,2,FALSE)</f>
        <v>Sudeste</v>
      </c>
      <c r="E1426" s="90" t="s">
        <v>12765</v>
      </c>
      <c r="F1426" s="91">
        <v>46304</v>
      </c>
      <c r="G1426" s="92">
        <v>49315</v>
      </c>
      <c r="H1426" s="90" t="s">
        <v>11</v>
      </c>
      <c r="I14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26" s="90" t="s">
        <v>10582</v>
      </c>
    </row>
    <row r="1427" spans="1:11">
      <c r="A1427" s="90" t="s">
        <v>5678</v>
      </c>
      <c r="B1427" s="90" t="s">
        <v>5679</v>
      </c>
      <c r="C1427" s="90" t="s">
        <v>6</v>
      </c>
      <c r="D1427" s="90" t="str">
        <f>VLOOKUP(Tabela1[[#This Row],[Origem]],'Perguntas 1 a 24'!$J$28:$K$34,2,FALSE)</f>
        <v>Nordeste</v>
      </c>
      <c r="E1427" s="90" t="s">
        <v>12766</v>
      </c>
      <c r="F1427" s="91">
        <v>46307</v>
      </c>
      <c r="G1427" s="92">
        <v>90478</v>
      </c>
      <c r="H1427" s="90" t="s">
        <v>11</v>
      </c>
      <c r="I14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27" s="90" t="s">
        <v>5679</v>
      </c>
    </row>
    <row r="1428" spans="1:11">
      <c r="A1428" s="90" t="s">
        <v>7982</v>
      </c>
      <c r="B1428" s="90" t="s">
        <v>7983</v>
      </c>
      <c r="C1428" s="90" t="s">
        <v>16</v>
      </c>
      <c r="D1428" s="90" t="str">
        <f>VLOOKUP(Tabela1[[#This Row],[Origem]],'Perguntas 1 a 24'!$J$28:$K$34,2,FALSE)</f>
        <v>Sudeste</v>
      </c>
      <c r="E1428" s="90" t="s">
        <v>12767</v>
      </c>
      <c r="F1428" s="91">
        <v>46307</v>
      </c>
      <c r="G1428" s="92">
        <v>45588</v>
      </c>
      <c r="H1428" s="90" t="s">
        <v>9</v>
      </c>
      <c r="I14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28" s="90" t="s">
        <v>7983</v>
      </c>
    </row>
    <row r="1429" spans="1:11">
      <c r="A1429" s="90" t="s">
        <v>5238</v>
      </c>
      <c r="B1429" s="90" t="s">
        <v>5239</v>
      </c>
      <c r="C1429" s="90" t="s">
        <v>15</v>
      </c>
      <c r="D1429" s="90" t="str">
        <f>VLOOKUP(Tabela1[[#This Row],[Origem]],'Perguntas 1 a 24'!$J$28:$K$34,2,FALSE)</f>
        <v>Sudeste</v>
      </c>
      <c r="E1429" s="90" t="s">
        <v>12768</v>
      </c>
      <c r="F1429" s="91">
        <v>46309</v>
      </c>
      <c r="G1429" s="92">
        <v>52611</v>
      </c>
      <c r="H1429" s="90" t="s">
        <v>9</v>
      </c>
      <c r="I14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29" s="90" t="s">
        <v>5239</v>
      </c>
    </row>
    <row r="1430" spans="1:11">
      <c r="A1430" s="90" t="s">
        <v>6292</v>
      </c>
      <c r="B1430" s="90" t="s">
        <v>6293</v>
      </c>
      <c r="C1430" s="90" t="s">
        <v>13</v>
      </c>
      <c r="D1430" s="90" t="str">
        <f>VLOOKUP(Tabela1[[#This Row],[Origem]],'Perguntas 1 a 24'!$J$28:$K$34,2,FALSE)</f>
        <v>Sudeste</v>
      </c>
      <c r="E1430" s="90" t="s">
        <v>12769</v>
      </c>
      <c r="F1430" s="91">
        <v>46309</v>
      </c>
      <c r="G1430" s="92">
        <v>119901</v>
      </c>
      <c r="H1430" s="90" t="s">
        <v>9</v>
      </c>
      <c r="I14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30" s="90" t="s">
        <v>6293</v>
      </c>
    </row>
    <row r="1431" spans="1:11">
      <c r="A1431" s="90" t="s">
        <v>10073</v>
      </c>
      <c r="B1431" s="90" t="s">
        <v>10074</v>
      </c>
      <c r="C1431" s="90" t="s">
        <v>12</v>
      </c>
      <c r="D1431" s="90" t="str">
        <f>VLOOKUP(Tabela1[[#This Row],[Origem]],'Perguntas 1 a 24'!$J$28:$K$34,2,FALSE)</f>
        <v>Sudeste</v>
      </c>
      <c r="E1431" s="90" t="s">
        <v>12770</v>
      </c>
      <c r="F1431" s="91">
        <v>46309</v>
      </c>
      <c r="G1431" s="92">
        <v>105084</v>
      </c>
      <c r="H1431" s="90" t="s">
        <v>7</v>
      </c>
      <c r="I14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31" s="90" t="s">
        <v>10074</v>
      </c>
    </row>
    <row r="1432" spans="1:11">
      <c r="A1432" s="90" t="s">
        <v>7282</v>
      </c>
      <c r="B1432" s="90" t="s">
        <v>7283</v>
      </c>
      <c r="C1432" s="90" t="s">
        <v>8</v>
      </c>
      <c r="D1432" s="90" t="str">
        <f>VLOOKUP(Tabela1[[#This Row],[Origem]],'Perguntas 1 a 24'!$J$28:$K$34,2,FALSE)</f>
        <v>Nordeste</v>
      </c>
      <c r="E1432" s="90" t="s">
        <v>12771</v>
      </c>
      <c r="F1432" s="91">
        <v>46310</v>
      </c>
      <c r="G1432" s="92">
        <v>69515</v>
      </c>
      <c r="H1432" s="90" t="s">
        <v>11</v>
      </c>
      <c r="I14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32" s="90" t="s">
        <v>7283</v>
      </c>
    </row>
    <row r="1433" spans="1:11">
      <c r="A1433" s="90" t="s">
        <v>8891</v>
      </c>
      <c r="B1433" s="90" t="s">
        <v>8892</v>
      </c>
      <c r="C1433" s="90" t="s">
        <v>16</v>
      </c>
      <c r="D1433" s="90" t="str">
        <f>VLOOKUP(Tabela1[[#This Row],[Origem]],'Perguntas 1 a 24'!$J$28:$K$34,2,FALSE)</f>
        <v>Sudeste</v>
      </c>
      <c r="E1433" s="90" t="s">
        <v>12772</v>
      </c>
      <c r="F1433" s="91">
        <v>46310</v>
      </c>
      <c r="G1433" s="92">
        <v>95468</v>
      </c>
      <c r="H1433" s="90" t="s">
        <v>9</v>
      </c>
      <c r="I14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33" s="90" t="s">
        <v>8892</v>
      </c>
    </row>
    <row r="1434" spans="1:11">
      <c r="A1434" s="90" t="s">
        <v>9949</v>
      </c>
      <c r="B1434" s="90" t="s">
        <v>9950</v>
      </c>
      <c r="C1434" s="90" t="s">
        <v>10</v>
      </c>
      <c r="D1434" s="90" t="str">
        <f>VLOOKUP(Tabela1[[#This Row],[Origem]],'Perguntas 1 a 24'!$J$28:$K$34,2,FALSE)</f>
        <v>Centro-Oeste</v>
      </c>
      <c r="E1434" s="90" t="s">
        <v>12773</v>
      </c>
      <c r="F1434" s="91">
        <v>46310</v>
      </c>
      <c r="G1434" s="92">
        <v>28937</v>
      </c>
      <c r="H1434" s="90" t="s">
        <v>11</v>
      </c>
      <c r="I14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34" s="90" t="s">
        <v>9950</v>
      </c>
    </row>
    <row r="1435" spans="1:11">
      <c r="A1435" s="90" t="s">
        <v>6970</v>
      </c>
      <c r="B1435" s="90" t="s">
        <v>6971</v>
      </c>
      <c r="C1435" s="90" t="s">
        <v>10</v>
      </c>
      <c r="D1435" s="90" t="str">
        <f>VLOOKUP(Tabela1[[#This Row],[Origem]],'Perguntas 1 a 24'!$J$28:$K$34,2,FALSE)</f>
        <v>Centro-Oeste</v>
      </c>
      <c r="E1435" s="90" t="s">
        <v>12774</v>
      </c>
      <c r="F1435" s="91">
        <v>46311</v>
      </c>
      <c r="G1435" s="92">
        <v>32721</v>
      </c>
      <c r="H1435" s="90" t="s">
        <v>14</v>
      </c>
      <c r="I14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35" s="90" t="s">
        <v>6971</v>
      </c>
    </row>
    <row r="1436" spans="1:11">
      <c r="A1436" s="90" t="s">
        <v>7022</v>
      </c>
      <c r="B1436" s="90" t="s">
        <v>7023</v>
      </c>
      <c r="C1436" s="90" t="s">
        <v>8</v>
      </c>
      <c r="D1436" s="90" t="str">
        <f>VLOOKUP(Tabela1[[#This Row],[Origem]],'Perguntas 1 a 24'!$J$28:$K$34,2,FALSE)</f>
        <v>Nordeste</v>
      </c>
      <c r="E1436" s="90" t="s">
        <v>12775</v>
      </c>
      <c r="F1436" s="91">
        <v>46313</v>
      </c>
      <c r="G1436" s="92">
        <v>50360</v>
      </c>
      <c r="H1436" s="90" t="s">
        <v>14</v>
      </c>
      <c r="I14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36" s="90" t="s">
        <v>7023</v>
      </c>
    </row>
    <row r="1437" spans="1:11">
      <c r="A1437" s="90" t="s">
        <v>5724</v>
      </c>
      <c r="B1437" s="90" t="s">
        <v>5725</v>
      </c>
      <c r="C1437" s="90" t="s">
        <v>12</v>
      </c>
      <c r="D1437" s="90" t="str">
        <f>VLOOKUP(Tabela1[[#This Row],[Origem]],'Perguntas 1 a 24'!$J$28:$K$34,2,FALSE)</f>
        <v>Sudeste</v>
      </c>
      <c r="E1437" s="90" t="s">
        <v>12776</v>
      </c>
      <c r="F1437" s="91">
        <v>46314</v>
      </c>
      <c r="G1437" s="92">
        <v>100696</v>
      </c>
      <c r="H1437" s="90" t="s">
        <v>7</v>
      </c>
      <c r="I14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37" s="90" t="s">
        <v>5725</v>
      </c>
    </row>
    <row r="1438" spans="1:11">
      <c r="A1438" s="90" t="s">
        <v>9931</v>
      </c>
      <c r="B1438" s="90" t="s">
        <v>9932</v>
      </c>
      <c r="C1438" s="90" t="s">
        <v>15</v>
      </c>
      <c r="D1438" s="90" t="str">
        <f>VLOOKUP(Tabela1[[#This Row],[Origem]],'Perguntas 1 a 24'!$J$28:$K$34,2,FALSE)</f>
        <v>Sudeste</v>
      </c>
      <c r="E1438" s="90" t="s">
        <v>12777</v>
      </c>
      <c r="F1438" s="91">
        <v>46316</v>
      </c>
      <c r="G1438" s="92">
        <v>62739</v>
      </c>
      <c r="H1438" s="90" t="s">
        <v>11</v>
      </c>
      <c r="I14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38" s="90" t="s">
        <v>9932</v>
      </c>
    </row>
    <row r="1439" spans="1:11">
      <c r="A1439" s="90" t="s">
        <v>8809</v>
      </c>
      <c r="B1439" s="90" t="s">
        <v>8810</v>
      </c>
      <c r="C1439" s="90" t="s">
        <v>16</v>
      </c>
      <c r="D1439" s="90" t="str">
        <f>VLOOKUP(Tabela1[[#This Row],[Origem]],'Perguntas 1 a 24'!$J$28:$K$34,2,FALSE)</f>
        <v>Sudeste</v>
      </c>
      <c r="E1439" s="90" t="s">
        <v>12778</v>
      </c>
      <c r="F1439" s="91">
        <v>46317</v>
      </c>
      <c r="G1439" s="92">
        <v>95337</v>
      </c>
      <c r="H1439" s="90" t="s">
        <v>9</v>
      </c>
      <c r="I14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39" s="90" t="s">
        <v>8810</v>
      </c>
    </row>
    <row r="1440" spans="1:11">
      <c r="A1440" s="90" t="s">
        <v>4074</v>
      </c>
      <c r="B1440" s="90" t="s">
        <v>4075</v>
      </c>
      <c r="C1440" s="90" t="s">
        <v>6</v>
      </c>
      <c r="D1440" s="90" t="str">
        <f>VLOOKUP(Tabela1[[#This Row],[Origem]],'Perguntas 1 a 24'!$J$28:$K$34,2,FALSE)</f>
        <v>Nordeste</v>
      </c>
      <c r="E1440" s="90" t="s">
        <v>12779</v>
      </c>
      <c r="F1440" s="91">
        <v>46319</v>
      </c>
      <c r="G1440" s="92">
        <v>87405</v>
      </c>
      <c r="H1440" s="90" t="s">
        <v>11</v>
      </c>
      <c r="I14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40" s="90" t="s">
        <v>4075</v>
      </c>
    </row>
    <row r="1441" spans="1:11">
      <c r="A1441" s="90" t="s">
        <v>4116</v>
      </c>
      <c r="B1441" s="90" t="s">
        <v>4117</v>
      </c>
      <c r="C1441" s="90" t="s">
        <v>6</v>
      </c>
      <c r="D1441" s="90" t="str">
        <f>VLOOKUP(Tabela1[[#This Row],[Origem]],'Perguntas 1 a 24'!$J$28:$K$34,2,FALSE)</f>
        <v>Nordeste</v>
      </c>
      <c r="E1441" s="90" t="s">
        <v>12780</v>
      </c>
      <c r="F1441" s="91">
        <v>46319</v>
      </c>
      <c r="G1441" s="92">
        <v>47321</v>
      </c>
      <c r="H1441" s="90" t="s">
        <v>14</v>
      </c>
      <c r="I14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41" s="90" t="s">
        <v>4117</v>
      </c>
    </row>
    <row r="1442" spans="1:11">
      <c r="A1442" s="90" t="s">
        <v>5876</v>
      </c>
      <c r="B1442" s="90" t="s">
        <v>5877</v>
      </c>
      <c r="C1442" s="90" t="s">
        <v>12</v>
      </c>
      <c r="D1442" s="90" t="str">
        <f>VLOOKUP(Tabela1[[#This Row],[Origem]],'Perguntas 1 a 24'!$J$28:$K$34,2,FALSE)</f>
        <v>Sudeste</v>
      </c>
      <c r="E1442" s="90" t="s">
        <v>12781</v>
      </c>
      <c r="F1442" s="91">
        <v>46319</v>
      </c>
      <c r="G1442" s="92">
        <v>27971</v>
      </c>
      <c r="H1442" s="90" t="s">
        <v>9</v>
      </c>
      <c r="I14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42" s="90" t="s">
        <v>5877</v>
      </c>
    </row>
    <row r="1443" spans="1:11">
      <c r="A1443" s="90" t="s">
        <v>7486</v>
      </c>
      <c r="B1443" s="90" t="s">
        <v>7487</v>
      </c>
      <c r="C1443" s="90" t="s">
        <v>16</v>
      </c>
      <c r="D1443" s="90" t="str">
        <f>VLOOKUP(Tabela1[[#This Row],[Origem]],'Perguntas 1 a 24'!$J$28:$K$34,2,FALSE)</f>
        <v>Sudeste</v>
      </c>
      <c r="E1443" s="90" t="s">
        <v>12782</v>
      </c>
      <c r="F1443" s="91">
        <v>46319</v>
      </c>
      <c r="G1443" s="92">
        <v>71587</v>
      </c>
      <c r="H1443" s="90" t="s">
        <v>14</v>
      </c>
      <c r="I14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43" s="90" t="s">
        <v>7487</v>
      </c>
    </row>
    <row r="1444" spans="1:11">
      <c r="A1444" s="90" t="s">
        <v>8516</v>
      </c>
      <c r="B1444" s="90" t="s">
        <v>8517</v>
      </c>
      <c r="C1444" s="90" t="s">
        <v>12</v>
      </c>
      <c r="D1444" s="90" t="str">
        <f>VLOOKUP(Tabela1[[#This Row],[Origem]],'Perguntas 1 a 24'!$J$28:$K$34,2,FALSE)</f>
        <v>Sudeste</v>
      </c>
      <c r="E1444" s="90" t="s">
        <v>12783</v>
      </c>
      <c r="F1444" s="91">
        <v>46319</v>
      </c>
      <c r="G1444" s="92">
        <v>119370</v>
      </c>
      <c r="H1444" s="90" t="s">
        <v>14</v>
      </c>
      <c r="I14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44" s="90" t="s">
        <v>8517</v>
      </c>
    </row>
    <row r="1445" spans="1:11">
      <c r="A1445" s="90" t="s">
        <v>8536</v>
      </c>
      <c r="B1445" s="90" t="s">
        <v>19</v>
      </c>
      <c r="C1445" s="90" t="s">
        <v>12</v>
      </c>
      <c r="D1445" s="90" t="str">
        <f>VLOOKUP(Tabela1[[#This Row],[Origem]],'Perguntas 1 a 24'!$J$28:$K$34,2,FALSE)</f>
        <v>Sudeste</v>
      </c>
      <c r="E1445" s="90" t="s">
        <v>12784</v>
      </c>
      <c r="F1445" s="91">
        <v>46319</v>
      </c>
      <c r="G1445" s="92">
        <v>70587</v>
      </c>
      <c r="H1445" s="90" t="s">
        <v>7</v>
      </c>
      <c r="I14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45" s="90" t="s">
        <v>19</v>
      </c>
    </row>
    <row r="1446" spans="1:11">
      <c r="A1446" s="90" t="s">
        <v>3936</v>
      </c>
      <c r="B1446" s="90" t="s">
        <v>3937</v>
      </c>
      <c r="C1446" s="90" t="s">
        <v>10</v>
      </c>
      <c r="D1446" s="90" t="str">
        <f>VLOOKUP(Tabela1[[#This Row],[Origem]],'Perguntas 1 a 24'!$J$28:$K$34,2,FALSE)</f>
        <v>Centro-Oeste</v>
      </c>
      <c r="E1446" s="90" t="s">
        <v>12785</v>
      </c>
      <c r="F1446" s="91">
        <v>46321</v>
      </c>
      <c r="G1446" s="92">
        <v>103438</v>
      </c>
      <c r="H1446" s="90" t="s">
        <v>7</v>
      </c>
      <c r="I14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46" s="90" t="s">
        <v>3937</v>
      </c>
    </row>
    <row r="1447" spans="1:11">
      <c r="A1447" s="90" t="s">
        <v>4461</v>
      </c>
      <c r="B1447" s="90" t="s">
        <v>4462</v>
      </c>
      <c r="C1447" s="90" t="s">
        <v>12</v>
      </c>
      <c r="D1447" s="90" t="str">
        <f>VLOOKUP(Tabela1[[#This Row],[Origem]],'Perguntas 1 a 24'!$J$28:$K$34,2,FALSE)</f>
        <v>Sudeste</v>
      </c>
      <c r="E1447" s="90" t="s">
        <v>12786</v>
      </c>
      <c r="F1447" s="91">
        <v>46321</v>
      </c>
      <c r="G1447" s="92">
        <v>91902</v>
      </c>
      <c r="H1447" s="90" t="s">
        <v>14</v>
      </c>
      <c r="I14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47" s="90" t="s">
        <v>4462</v>
      </c>
    </row>
    <row r="1448" spans="1:11">
      <c r="A1448" s="90" t="s">
        <v>5092</v>
      </c>
      <c r="B1448" s="90" t="s">
        <v>5093</v>
      </c>
      <c r="C1448" s="90" t="s">
        <v>15</v>
      </c>
      <c r="D1448" s="90" t="str">
        <f>VLOOKUP(Tabela1[[#This Row],[Origem]],'Perguntas 1 a 24'!$J$28:$K$34,2,FALSE)</f>
        <v>Sudeste</v>
      </c>
      <c r="E1448" s="90" t="s">
        <v>12787</v>
      </c>
      <c r="F1448" s="91">
        <v>46321</v>
      </c>
      <c r="G1448" s="92">
        <v>92349</v>
      </c>
      <c r="H1448" s="90" t="s">
        <v>14</v>
      </c>
      <c r="I14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48" s="90" t="s">
        <v>5093</v>
      </c>
    </row>
    <row r="1449" spans="1:11">
      <c r="A1449" s="90" t="s">
        <v>9373</v>
      </c>
      <c r="B1449" s="90" t="s">
        <v>9374</v>
      </c>
      <c r="C1449" s="90" t="s">
        <v>16</v>
      </c>
      <c r="D1449" s="90" t="str">
        <f>VLOOKUP(Tabela1[[#This Row],[Origem]],'Perguntas 1 a 24'!$J$28:$K$34,2,FALSE)</f>
        <v>Sudeste</v>
      </c>
      <c r="E1449" s="90" t="s">
        <v>12788</v>
      </c>
      <c r="F1449" s="91">
        <v>46322</v>
      </c>
      <c r="G1449" s="92">
        <v>85340</v>
      </c>
      <c r="H1449" s="90" t="s">
        <v>14</v>
      </c>
      <c r="I14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49" s="90" t="s">
        <v>9374</v>
      </c>
    </row>
    <row r="1450" spans="1:11">
      <c r="A1450" s="90" t="s">
        <v>10357</v>
      </c>
      <c r="B1450" s="90" t="s">
        <v>10358</v>
      </c>
      <c r="C1450" s="90" t="s">
        <v>13</v>
      </c>
      <c r="D1450" s="90" t="str">
        <f>VLOOKUP(Tabela1[[#This Row],[Origem]],'Perguntas 1 a 24'!$J$28:$K$34,2,FALSE)</f>
        <v>Sudeste</v>
      </c>
      <c r="E1450" s="90" t="s">
        <v>12789</v>
      </c>
      <c r="F1450" s="91">
        <v>46322</v>
      </c>
      <c r="G1450" s="92">
        <v>102224</v>
      </c>
      <c r="H1450" s="90" t="s">
        <v>7</v>
      </c>
      <c r="I14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50" s="90" t="s">
        <v>10358</v>
      </c>
    </row>
    <row r="1451" spans="1:11">
      <c r="A1451" s="90" t="s">
        <v>3742</v>
      </c>
      <c r="B1451" s="90" t="s">
        <v>3743</v>
      </c>
      <c r="C1451" s="90" t="s">
        <v>10</v>
      </c>
      <c r="D1451" s="90" t="str">
        <f>VLOOKUP(Tabela1[[#This Row],[Origem]],'Perguntas 1 a 24'!$J$28:$K$34,2,FALSE)</f>
        <v>Centro-Oeste</v>
      </c>
      <c r="E1451" s="90" t="s">
        <v>12790</v>
      </c>
      <c r="F1451" s="91">
        <v>46323</v>
      </c>
      <c r="G1451" s="92">
        <v>37450</v>
      </c>
      <c r="H1451" s="90" t="s">
        <v>9</v>
      </c>
      <c r="I14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51" s="90" t="s">
        <v>3743</v>
      </c>
    </row>
    <row r="1452" spans="1:11">
      <c r="A1452" s="90" t="s">
        <v>6960</v>
      </c>
      <c r="B1452" s="90" t="s">
        <v>6961</v>
      </c>
      <c r="C1452" s="90" t="s">
        <v>8</v>
      </c>
      <c r="D1452" s="90" t="str">
        <f>VLOOKUP(Tabela1[[#This Row],[Origem]],'Perguntas 1 a 24'!$J$28:$K$34,2,FALSE)</f>
        <v>Nordeste</v>
      </c>
      <c r="E1452" s="90" t="s">
        <v>12791</v>
      </c>
      <c r="F1452" s="91">
        <v>46323</v>
      </c>
      <c r="G1452" s="92">
        <v>84120</v>
      </c>
      <c r="H1452" s="90" t="s">
        <v>11</v>
      </c>
      <c r="I14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52" s="90" t="s">
        <v>6961</v>
      </c>
    </row>
    <row r="1453" spans="1:11">
      <c r="A1453" s="90" t="s">
        <v>11115</v>
      </c>
      <c r="B1453" s="90" t="s">
        <v>11116</v>
      </c>
      <c r="C1453" s="90" t="s">
        <v>10</v>
      </c>
      <c r="D1453" s="90" t="str">
        <f>VLOOKUP(Tabela1[[#This Row],[Origem]],'Perguntas 1 a 24'!$J$28:$K$34,2,FALSE)</f>
        <v>Centro-Oeste</v>
      </c>
      <c r="E1453" s="90" t="s">
        <v>12792</v>
      </c>
      <c r="F1453" s="91">
        <v>46323</v>
      </c>
      <c r="G1453" s="92">
        <v>55533</v>
      </c>
      <c r="H1453" s="90" t="s">
        <v>14</v>
      </c>
      <c r="I14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53" s="90" t="s">
        <v>11116</v>
      </c>
    </row>
    <row r="1454" spans="1:11">
      <c r="A1454" s="90" t="s">
        <v>5936</v>
      </c>
      <c r="B1454" s="90" t="s">
        <v>5937</v>
      </c>
      <c r="C1454" s="90" t="s">
        <v>10</v>
      </c>
      <c r="D1454" s="90" t="str">
        <f>VLOOKUP(Tabela1[[#This Row],[Origem]],'Perguntas 1 a 24'!$J$28:$K$34,2,FALSE)</f>
        <v>Centro-Oeste</v>
      </c>
      <c r="E1454" s="90" t="s">
        <v>12793</v>
      </c>
      <c r="F1454" s="91">
        <v>46325</v>
      </c>
      <c r="G1454" s="92">
        <v>35942</v>
      </c>
      <c r="H1454" s="90" t="s">
        <v>7</v>
      </c>
      <c r="I14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54" s="90" t="s">
        <v>5937</v>
      </c>
    </row>
    <row r="1455" spans="1:11">
      <c r="A1455" s="90" t="s">
        <v>7140</v>
      </c>
      <c r="B1455" s="90" t="s">
        <v>7141</v>
      </c>
      <c r="C1455" s="90" t="s">
        <v>16</v>
      </c>
      <c r="D1455" s="90" t="str">
        <f>VLOOKUP(Tabela1[[#This Row],[Origem]],'Perguntas 1 a 24'!$J$28:$K$34,2,FALSE)</f>
        <v>Sudeste</v>
      </c>
      <c r="E1455" s="90" t="s">
        <v>12794</v>
      </c>
      <c r="F1455" s="91">
        <v>46325</v>
      </c>
      <c r="G1455" s="92">
        <v>116515</v>
      </c>
      <c r="H1455" s="90" t="s">
        <v>9</v>
      </c>
      <c r="I14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55" s="90" t="s">
        <v>7141</v>
      </c>
    </row>
    <row r="1456" spans="1:11">
      <c r="A1456" s="90" t="s">
        <v>7882</v>
      </c>
      <c r="B1456" s="90" t="s">
        <v>7883</v>
      </c>
      <c r="C1456" s="90" t="s">
        <v>6</v>
      </c>
      <c r="D1456" s="90" t="str">
        <f>VLOOKUP(Tabela1[[#This Row],[Origem]],'Perguntas 1 a 24'!$J$28:$K$34,2,FALSE)</f>
        <v>Nordeste</v>
      </c>
      <c r="E1456" s="90" t="s">
        <v>12795</v>
      </c>
      <c r="F1456" s="91">
        <v>46326</v>
      </c>
      <c r="G1456" s="92">
        <v>38700</v>
      </c>
      <c r="H1456" s="90" t="s">
        <v>11</v>
      </c>
      <c r="I14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56" s="90" t="s">
        <v>7883</v>
      </c>
    </row>
    <row r="1457" spans="1:11">
      <c r="A1457" s="90" t="s">
        <v>6130</v>
      </c>
      <c r="B1457" s="90" t="s">
        <v>6131</v>
      </c>
      <c r="C1457" s="90" t="s">
        <v>13</v>
      </c>
      <c r="D1457" s="90" t="str">
        <f>VLOOKUP(Tabela1[[#This Row],[Origem]],'Perguntas 1 a 24'!$J$28:$K$34,2,FALSE)</f>
        <v>Sudeste</v>
      </c>
      <c r="E1457" s="90" t="s">
        <v>12796</v>
      </c>
      <c r="F1457" s="91">
        <v>46327</v>
      </c>
      <c r="G1457" s="92">
        <v>102247</v>
      </c>
      <c r="H1457" s="90" t="s">
        <v>14</v>
      </c>
      <c r="I14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57" s="90" t="s">
        <v>6131</v>
      </c>
    </row>
    <row r="1458" spans="1:11">
      <c r="A1458" s="90" t="s">
        <v>10976</v>
      </c>
      <c r="B1458" s="90" t="s">
        <v>10977</v>
      </c>
      <c r="C1458" s="90" t="s">
        <v>13</v>
      </c>
      <c r="D1458" s="90" t="str">
        <f>VLOOKUP(Tabela1[[#This Row],[Origem]],'Perguntas 1 a 24'!$J$28:$K$34,2,FALSE)</f>
        <v>Sudeste</v>
      </c>
      <c r="E1458" s="90" t="s">
        <v>12797</v>
      </c>
      <c r="F1458" s="91">
        <v>46327</v>
      </c>
      <c r="G1458" s="92">
        <v>37489</v>
      </c>
      <c r="H1458" s="90" t="s">
        <v>11</v>
      </c>
      <c r="I14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58" s="90" t="s">
        <v>10977</v>
      </c>
    </row>
    <row r="1459" spans="1:11">
      <c r="A1459" s="90" t="s">
        <v>8695</v>
      </c>
      <c r="B1459" s="90" t="s">
        <v>8696</v>
      </c>
      <c r="C1459" s="90" t="s">
        <v>8</v>
      </c>
      <c r="D1459" s="90" t="str">
        <f>VLOOKUP(Tabela1[[#This Row],[Origem]],'Perguntas 1 a 24'!$J$28:$K$34,2,FALSE)</f>
        <v>Nordeste</v>
      </c>
      <c r="E1459" s="90" t="s">
        <v>12798</v>
      </c>
      <c r="F1459" s="91">
        <v>46328</v>
      </c>
      <c r="G1459" s="92">
        <v>52165</v>
      </c>
      <c r="H1459" s="90" t="s">
        <v>9</v>
      </c>
      <c r="I14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59" s="90" t="s">
        <v>8696</v>
      </c>
    </row>
    <row r="1460" spans="1:11">
      <c r="A1460" s="90" t="s">
        <v>6410</v>
      </c>
      <c r="B1460" s="90" t="s">
        <v>6411</v>
      </c>
      <c r="C1460" s="90" t="s">
        <v>13</v>
      </c>
      <c r="D1460" s="90" t="str">
        <f>VLOOKUP(Tabela1[[#This Row],[Origem]],'Perguntas 1 a 24'!$J$28:$K$34,2,FALSE)</f>
        <v>Sudeste</v>
      </c>
      <c r="E1460" s="90" t="s">
        <v>12799</v>
      </c>
      <c r="F1460" s="91">
        <v>46331</v>
      </c>
      <c r="G1460" s="92">
        <v>102637</v>
      </c>
      <c r="H1460" s="90" t="s">
        <v>7</v>
      </c>
      <c r="I14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60" s="90" t="s">
        <v>6411</v>
      </c>
    </row>
    <row r="1461" spans="1:11">
      <c r="A1461" s="90" t="s">
        <v>8943</v>
      </c>
      <c r="B1461" s="90" t="s">
        <v>8944</v>
      </c>
      <c r="C1461" s="90" t="s">
        <v>6</v>
      </c>
      <c r="D1461" s="90" t="str">
        <f>VLOOKUP(Tabela1[[#This Row],[Origem]],'Perguntas 1 a 24'!$J$28:$K$34,2,FALSE)</f>
        <v>Nordeste</v>
      </c>
      <c r="E1461" s="90" t="s">
        <v>12800</v>
      </c>
      <c r="F1461" s="91">
        <v>46331</v>
      </c>
      <c r="G1461" s="92">
        <v>102865</v>
      </c>
      <c r="H1461" s="90" t="s">
        <v>7</v>
      </c>
      <c r="I14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61" s="90" t="s">
        <v>8944</v>
      </c>
    </row>
    <row r="1462" spans="1:11">
      <c r="A1462" s="90" t="s">
        <v>3870</v>
      </c>
      <c r="B1462" s="90" t="s">
        <v>3871</v>
      </c>
      <c r="C1462" s="90" t="s">
        <v>10</v>
      </c>
      <c r="D1462" s="90" t="str">
        <f>VLOOKUP(Tabela1[[#This Row],[Origem]],'Perguntas 1 a 24'!$J$28:$K$34,2,FALSE)</f>
        <v>Centro-Oeste</v>
      </c>
      <c r="E1462" s="90" t="s">
        <v>12801</v>
      </c>
      <c r="F1462" s="91">
        <v>46332</v>
      </c>
      <c r="G1462" s="92">
        <v>75561</v>
      </c>
      <c r="H1462" s="90" t="s">
        <v>9</v>
      </c>
      <c r="I14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62" s="90" t="s">
        <v>3871</v>
      </c>
    </row>
    <row r="1463" spans="1:11">
      <c r="A1463" s="90" t="s">
        <v>8685</v>
      </c>
      <c r="B1463" s="90" t="s">
        <v>8686</v>
      </c>
      <c r="C1463" s="90" t="s">
        <v>15</v>
      </c>
      <c r="D1463" s="90" t="str">
        <f>VLOOKUP(Tabela1[[#This Row],[Origem]],'Perguntas 1 a 24'!$J$28:$K$34,2,FALSE)</f>
        <v>Sudeste</v>
      </c>
      <c r="E1463" s="90" t="s">
        <v>12802</v>
      </c>
      <c r="F1463" s="91">
        <v>46332</v>
      </c>
      <c r="G1463" s="92">
        <v>23170</v>
      </c>
      <c r="H1463" s="90" t="s">
        <v>9</v>
      </c>
      <c r="I14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63" s="90" t="s">
        <v>8686</v>
      </c>
    </row>
    <row r="1464" spans="1:11">
      <c r="A1464" s="90" t="s">
        <v>10705</v>
      </c>
      <c r="B1464" s="90" t="s">
        <v>10706</v>
      </c>
      <c r="C1464" s="90" t="s">
        <v>6</v>
      </c>
      <c r="D1464" s="90" t="str">
        <f>VLOOKUP(Tabela1[[#This Row],[Origem]],'Perguntas 1 a 24'!$J$28:$K$34,2,FALSE)</f>
        <v>Nordeste</v>
      </c>
      <c r="E1464" s="90" t="s">
        <v>12803</v>
      </c>
      <c r="F1464" s="91">
        <v>46332</v>
      </c>
      <c r="G1464" s="92">
        <v>43279</v>
      </c>
      <c r="H1464" s="90" t="s">
        <v>9</v>
      </c>
      <c r="I14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64" s="90" t="s">
        <v>10706</v>
      </c>
    </row>
    <row r="1465" spans="1:11">
      <c r="A1465" s="90" t="s">
        <v>4660</v>
      </c>
      <c r="B1465" s="90" t="s">
        <v>4661</v>
      </c>
      <c r="C1465" s="90" t="s">
        <v>12</v>
      </c>
      <c r="D1465" s="90" t="str">
        <f>VLOOKUP(Tabela1[[#This Row],[Origem]],'Perguntas 1 a 24'!$J$28:$K$34,2,FALSE)</f>
        <v>Sudeste</v>
      </c>
      <c r="E1465" s="90" t="s">
        <v>12804</v>
      </c>
      <c r="F1465" s="91">
        <v>46333</v>
      </c>
      <c r="G1465" s="92">
        <v>117212</v>
      </c>
      <c r="H1465" s="90" t="s">
        <v>11</v>
      </c>
      <c r="I14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65" s="90" t="s">
        <v>4661</v>
      </c>
    </row>
    <row r="1466" spans="1:11">
      <c r="A1466" s="90" t="s">
        <v>11211</v>
      </c>
      <c r="B1466" s="90" t="s">
        <v>11212</v>
      </c>
      <c r="C1466" s="90" t="s">
        <v>6</v>
      </c>
      <c r="D1466" s="90" t="str">
        <f>VLOOKUP(Tabela1[[#This Row],[Origem]],'Perguntas 1 a 24'!$J$28:$K$34,2,FALSE)</f>
        <v>Nordeste</v>
      </c>
      <c r="E1466" s="90" t="s">
        <v>12805</v>
      </c>
      <c r="F1466" s="91">
        <v>46333</v>
      </c>
      <c r="G1466" s="92">
        <v>56319</v>
      </c>
      <c r="H1466" s="90" t="s">
        <v>11</v>
      </c>
      <c r="I14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66" s="90" t="s">
        <v>11212</v>
      </c>
    </row>
    <row r="1467" spans="1:11">
      <c r="A1467" s="90" t="s">
        <v>6012</v>
      </c>
      <c r="B1467" s="90" t="s">
        <v>6013</v>
      </c>
      <c r="C1467" s="90" t="s">
        <v>8</v>
      </c>
      <c r="D1467" s="90" t="str">
        <f>VLOOKUP(Tabela1[[#This Row],[Origem]],'Perguntas 1 a 24'!$J$28:$K$34,2,FALSE)</f>
        <v>Nordeste</v>
      </c>
      <c r="E1467" s="90" t="s">
        <v>12806</v>
      </c>
      <c r="F1467" s="91">
        <v>46334</v>
      </c>
      <c r="G1467" s="92">
        <v>112877</v>
      </c>
      <c r="H1467" s="90" t="s">
        <v>11</v>
      </c>
      <c r="I14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67" s="90" t="s">
        <v>6013</v>
      </c>
    </row>
    <row r="1468" spans="1:11">
      <c r="A1468" s="90" t="s">
        <v>7496</v>
      </c>
      <c r="B1468" s="90" t="s">
        <v>7497</v>
      </c>
      <c r="C1468" s="90" t="s">
        <v>10</v>
      </c>
      <c r="D1468" s="90" t="str">
        <f>VLOOKUP(Tabela1[[#This Row],[Origem]],'Perguntas 1 a 24'!$J$28:$K$34,2,FALSE)</f>
        <v>Centro-Oeste</v>
      </c>
      <c r="E1468" s="90" t="s">
        <v>12807</v>
      </c>
      <c r="F1468" s="91">
        <v>46334</v>
      </c>
      <c r="G1468" s="92">
        <v>61230</v>
      </c>
      <c r="H1468" s="90" t="s">
        <v>9</v>
      </c>
      <c r="I14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68" s="90" t="s">
        <v>7497</v>
      </c>
    </row>
    <row r="1469" spans="1:11">
      <c r="A1469" s="90" t="s">
        <v>4453</v>
      </c>
      <c r="B1469" s="90" t="s">
        <v>4454</v>
      </c>
      <c r="C1469" s="90" t="s">
        <v>12</v>
      </c>
      <c r="D1469" s="90" t="str">
        <f>VLOOKUP(Tabela1[[#This Row],[Origem]],'Perguntas 1 a 24'!$J$28:$K$34,2,FALSE)</f>
        <v>Sudeste</v>
      </c>
      <c r="E1469" s="90" t="s">
        <v>12808</v>
      </c>
      <c r="F1469" s="91">
        <v>46335</v>
      </c>
      <c r="G1469" s="92">
        <v>97300</v>
      </c>
      <c r="H1469" s="90" t="s">
        <v>11</v>
      </c>
      <c r="I14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69" s="90" t="s">
        <v>4454</v>
      </c>
    </row>
    <row r="1470" spans="1:11">
      <c r="A1470" s="90" t="s">
        <v>6880</v>
      </c>
      <c r="B1470" s="90" t="s">
        <v>6881</v>
      </c>
      <c r="C1470" s="90" t="s">
        <v>13</v>
      </c>
      <c r="D1470" s="90" t="str">
        <f>VLOOKUP(Tabela1[[#This Row],[Origem]],'Perguntas 1 a 24'!$J$28:$K$34,2,FALSE)</f>
        <v>Sudeste</v>
      </c>
      <c r="E1470" s="90" t="s">
        <v>12809</v>
      </c>
      <c r="F1470" s="91">
        <v>46335</v>
      </c>
      <c r="G1470" s="92">
        <v>40330</v>
      </c>
      <c r="H1470" s="90" t="s">
        <v>7</v>
      </c>
      <c r="I14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70" s="90" t="s">
        <v>6881</v>
      </c>
    </row>
    <row r="1471" spans="1:11">
      <c r="A1471" s="90" t="s">
        <v>7450</v>
      </c>
      <c r="B1471" s="90" t="s">
        <v>7451</v>
      </c>
      <c r="C1471" s="90" t="s">
        <v>13</v>
      </c>
      <c r="D1471" s="90" t="str">
        <f>VLOOKUP(Tabela1[[#This Row],[Origem]],'Perguntas 1 a 24'!$J$28:$K$34,2,FALSE)</f>
        <v>Sudeste</v>
      </c>
      <c r="E1471" s="90" t="s">
        <v>12810</v>
      </c>
      <c r="F1471" s="91">
        <v>46335</v>
      </c>
      <c r="G1471" s="92">
        <v>76396</v>
      </c>
      <c r="H1471" s="90" t="s">
        <v>11</v>
      </c>
      <c r="I14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71" s="90" t="s">
        <v>7451</v>
      </c>
    </row>
    <row r="1472" spans="1:11">
      <c r="A1472" s="90" t="s">
        <v>11303</v>
      </c>
      <c r="B1472" s="90" t="s">
        <v>11304</v>
      </c>
      <c r="C1472" s="90" t="s">
        <v>10</v>
      </c>
      <c r="D1472" s="90" t="str">
        <f>VLOOKUP(Tabela1[[#This Row],[Origem]],'Perguntas 1 a 24'!$J$28:$K$34,2,FALSE)</f>
        <v>Centro-Oeste</v>
      </c>
      <c r="E1472" s="90" t="s">
        <v>12811</v>
      </c>
      <c r="F1472" s="91">
        <v>46335</v>
      </c>
      <c r="G1472" s="92">
        <v>68289</v>
      </c>
      <c r="H1472" s="90" t="s">
        <v>14</v>
      </c>
      <c r="I14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72" s="90" t="s">
        <v>11304</v>
      </c>
    </row>
    <row r="1473" spans="1:11">
      <c r="A1473" s="90" t="s">
        <v>4820</v>
      </c>
      <c r="B1473" s="90" t="s">
        <v>4821</v>
      </c>
      <c r="C1473" s="90" t="s">
        <v>13</v>
      </c>
      <c r="D1473" s="90" t="str">
        <f>VLOOKUP(Tabela1[[#This Row],[Origem]],'Perguntas 1 a 24'!$J$28:$K$34,2,FALSE)</f>
        <v>Sudeste</v>
      </c>
      <c r="E1473" s="90" t="s">
        <v>12812</v>
      </c>
      <c r="F1473" s="91">
        <v>46336</v>
      </c>
      <c r="G1473" s="92">
        <v>97237</v>
      </c>
      <c r="H1473" s="90" t="s">
        <v>7</v>
      </c>
      <c r="I14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73" s="90" t="s">
        <v>4821</v>
      </c>
    </row>
    <row r="1474" spans="1:11">
      <c r="A1474" s="90" t="s">
        <v>4122</v>
      </c>
      <c r="B1474" s="90" t="s">
        <v>4123</v>
      </c>
      <c r="C1474" s="90" t="s">
        <v>16</v>
      </c>
      <c r="D1474" s="90" t="str">
        <f>VLOOKUP(Tabela1[[#This Row],[Origem]],'Perguntas 1 a 24'!$J$28:$K$34,2,FALSE)</f>
        <v>Sudeste</v>
      </c>
      <c r="E1474" s="90" t="s">
        <v>12813</v>
      </c>
      <c r="F1474" s="91">
        <v>46337</v>
      </c>
      <c r="G1474" s="92">
        <v>49313</v>
      </c>
      <c r="H1474" s="90" t="s">
        <v>11</v>
      </c>
      <c r="I14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74" s="90" t="s">
        <v>4123</v>
      </c>
    </row>
    <row r="1475" spans="1:11">
      <c r="A1475" s="90" t="s">
        <v>4363</v>
      </c>
      <c r="B1475" s="90" t="s">
        <v>4364</v>
      </c>
      <c r="C1475" s="90" t="s">
        <v>13</v>
      </c>
      <c r="D1475" s="90" t="str">
        <f>VLOOKUP(Tabela1[[#This Row],[Origem]],'Perguntas 1 a 24'!$J$28:$K$34,2,FALSE)</f>
        <v>Sudeste</v>
      </c>
      <c r="E1475" s="90" t="s">
        <v>12814</v>
      </c>
      <c r="F1475" s="91">
        <v>46337</v>
      </c>
      <c r="G1475" s="92">
        <v>77950</v>
      </c>
      <c r="H1475" s="90" t="s">
        <v>14</v>
      </c>
      <c r="I14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75" s="90" t="s">
        <v>4364</v>
      </c>
    </row>
    <row r="1476" spans="1:11">
      <c r="A1476" s="90" t="s">
        <v>6146</v>
      </c>
      <c r="B1476" s="90" t="s">
        <v>6147</v>
      </c>
      <c r="C1476" s="90" t="s">
        <v>10</v>
      </c>
      <c r="D1476" s="90" t="str">
        <f>VLOOKUP(Tabela1[[#This Row],[Origem]],'Perguntas 1 a 24'!$J$28:$K$34,2,FALSE)</f>
        <v>Centro-Oeste</v>
      </c>
      <c r="E1476" s="90" t="s">
        <v>12815</v>
      </c>
      <c r="F1476" s="91">
        <v>46337</v>
      </c>
      <c r="G1476" s="92">
        <v>35482</v>
      </c>
      <c r="H1476" s="90" t="s">
        <v>9</v>
      </c>
      <c r="I14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76" s="90" t="s">
        <v>6147</v>
      </c>
    </row>
    <row r="1477" spans="1:11">
      <c r="A1477" s="90" t="s">
        <v>8270</v>
      </c>
      <c r="B1477" s="90" t="s">
        <v>8271</v>
      </c>
      <c r="C1477" s="90" t="s">
        <v>16</v>
      </c>
      <c r="D1477" s="90" t="str">
        <f>VLOOKUP(Tabela1[[#This Row],[Origem]],'Perguntas 1 a 24'!$J$28:$K$34,2,FALSE)</f>
        <v>Sudeste</v>
      </c>
      <c r="E1477" s="90" t="s">
        <v>12816</v>
      </c>
      <c r="F1477" s="91">
        <v>46338</v>
      </c>
      <c r="G1477" s="92">
        <v>33741</v>
      </c>
      <c r="H1477" s="90" t="s">
        <v>9</v>
      </c>
      <c r="I14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77" s="90" t="s">
        <v>8271</v>
      </c>
    </row>
    <row r="1478" spans="1:11">
      <c r="A1478" s="90" t="s">
        <v>9557</v>
      </c>
      <c r="B1478" s="90" t="s">
        <v>9558</v>
      </c>
      <c r="C1478" s="90" t="s">
        <v>13</v>
      </c>
      <c r="D1478" s="90" t="str">
        <f>VLOOKUP(Tabela1[[#This Row],[Origem]],'Perguntas 1 a 24'!$J$28:$K$34,2,FALSE)</f>
        <v>Sudeste</v>
      </c>
      <c r="E1478" s="90" t="s">
        <v>12817</v>
      </c>
      <c r="F1478" s="91">
        <v>46338</v>
      </c>
      <c r="G1478" s="92">
        <v>59127</v>
      </c>
      <c r="H1478" s="90" t="s">
        <v>11</v>
      </c>
      <c r="I14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78" s="90" t="s">
        <v>9558</v>
      </c>
    </row>
    <row r="1479" spans="1:11">
      <c r="A1479" s="90" t="s">
        <v>10231</v>
      </c>
      <c r="B1479" s="90" t="s">
        <v>10232</v>
      </c>
      <c r="C1479" s="90" t="s">
        <v>10</v>
      </c>
      <c r="D1479" s="90" t="str">
        <f>VLOOKUP(Tabela1[[#This Row],[Origem]],'Perguntas 1 a 24'!$J$28:$K$34,2,FALSE)</f>
        <v>Centro-Oeste</v>
      </c>
      <c r="E1479" s="90" t="s">
        <v>12818</v>
      </c>
      <c r="F1479" s="91">
        <v>46338</v>
      </c>
      <c r="G1479" s="92">
        <v>68021</v>
      </c>
      <c r="H1479" s="90" t="s">
        <v>9</v>
      </c>
      <c r="I14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79" s="90" t="s">
        <v>10232</v>
      </c>
    </row>
    <row r="1480" spans="1:11">
      <c r="A1480" s="90" t="s">
        <v>7328</v>
      </c>
      <c r="B1480" s="90" t="s">
        <v>7329</v>
      </c>
      <c r="C1480" s="90" t="s">
        <v>8</v>
      </c>
      <c r="D1480" s="90" t="str">
        <f>VLOOKUP(Tabela1[[#This Row],[Origem]],'Perguntas 1 a 24'!$J$28:$K$34,2,FALSE)</f>
        <v>Nordeste</v>
      </c>
      <c r="E1480" s="90" t="s">
        <v>12819</v>
      </c>
      <c r="F1480" s="91">
        <v>46340</v>
      </c>
      <c r="G1480" s="92">
        <v>98967</v>
      </c>
      <c r="H1480" s="90" t="s">
        <v>14</v>
      </c>
      <c r="I14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0" s="90" t="s">
        <v>7329</v>
      </c>
    </row>
    <row r="1481" spans="1:11">
      <c r="A1481" s="90" t="s">
        <v>8863</v>
      </c>
      <c r="B1481" s="90" t="s">
        <v>8864</v>
      </c>
      <c r="C1481" s="90" t="s">
        <v>13</v>
      </c>
      <c r="D1481" s="90" t="str">
        <f>VLOOKUP(Tabela1[[#This Row],[Origem]],'Perguntas 1 a 24'!$J$28:$K$34,2,FALSE)</f>
        <v>Sudeste</v>
      </c>
      <c r="E1481" s="90" t="s">
        <v>12820</v>
      </c>
      <c r="F1481" s="91">
        <v>46340</v>
      </c>
      <c r="G1481" s="92">
        <v>116849</v>
      </c>
      <c r="H1481" s="90" t="s">
        <v>14</v>
      </c>
      <c r="I14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1" s="90" t="s">
        <v>8864</v>
      </c>
    </row>
    <row r="1482" spans="1:11">
      <c r="A1482" s="90" t="s">
        <v>5726</v>
      </c>
      <c r="B1482" s="90" t="s">
        <v>5727</v>
      </c>
      <c r="C1482" s="90" t="s">
        <v>8</v>
      </c>
      <c r="D1482" s="90" t="str">
        <f>VLOOKUP(Tabela1[[#This Row],[Origem]],'Perguntas 1 a 24'!$J$28:$K$34,2,FALSE)</f>
        <v>Nordeste</v>
      </c>
      <c r="E1482" s="90" t="s">
        <v>12821</v>
      </c>
      <c r="F1482" s="91">
        <v>46342</v>
      </c>
      <c r="G1482" s="92">
        <v>104219</v>
      </c>
      <c r="H1482" s="90" t="s">
        <v>14</v>
      </c>
      <c r="I14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2" s="90" t="s">
        <v>5727</v>
      </c>
    </row>
    <row r="1483" spans="1:11">
      <c r="A1483" s="90" t="s">
        <v>9239</v>
      </c>
      <c r="B1483" s="90" t="s">
        <v>9240</v>
      </c>
      <c r="C1483" s="90" t="s">
        <v>6</v>
      </c>
      <c r="D1483" s="90" t="str">
        <f>VLOOKUP(Tabela1[[#This Row],[Origem]],'Perguntas 1 a 24'!$J$28:$K$34,2,FALSE)</f>
        <v>Nordeste</v>
      </c>
      <c r="E1483" s="90" t="s">
        <v>12822</v>
      </c>
      <c r="F1483" s="91">
        <v>46342</v>
      </c>
      <c r="G1483" s="92">
        <v>86269</v>
      </c>
      <c r="H1483" s="90" t="s">
        <v>9</v>
      </c>
      <c r="I14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3" s="90" t="s">
        <v>9240</v>
      </c>
    </row>
    <row r="1484" spans="1:11">
      <c r="A1484" s="90" t="s">
        <v>3736</v>
      </c>
      <c r="B1484" s="90" t="s">
        <v>3737</v>
      </c>
      <c r="C1484" s="90" t="s">
        <v>6</v>
      </c>
      <c r="D1484" s="90" t="str">
        <f>VLOOKUP(Tabela1[[#This Row],[Origem]],'Perguntas 1 a 24'!$J$28:$K$34,2,FALSE)</f>
        <v>Nordeste</v>
      </c>
      <c r="E1484" s="90" t="s">
        <v>12823</v>
      </c>
      <c r="F1484" s="91">
        <v>46343</v>
      </c>
      <c r="G1484" s="92">
        <v>40034</v>
      </c>
      <c r="H1484" s="90" t="s">
        <v>7</v>
      </c>
      <c r="I14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84" s="90" t="s">
        <v>3737</v>
      </c>
    </row>
    <row r="1485" spans="1:11">
      <c r="A1485" s="90" t="s">
        <v>4399</v>
      </c>
      <c r="B1485" s="90" t="s">
        <v>4400</v>
      </c>
      <c r="C1485" s="90" t="s">
        <v>8</v>
      </c>
      <c r="D1485" s="90" t="str">
        <f>VLOOKUP(Tabela1[[#This Row],[Origem]],'Perguntas 1 a 24'!$J$28:$K$34,2,FALSE)</f>
        <v>Nordeste</v>
      </c>
      <c r="E1485" s="90" t="s">
        <v>12824</v>
      </c>
      <c r="F1485" s="91">
        <v>46343</v>
      </c>
      <c r="G1485" s="92">
        <v>75232</v>
      </c>
      <c r="H1485" s="90" t="s">
        <v>11</v>
      </c>
      <c r="I14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5" s="90" t="s">
        <v>4400</v>
      </c>
    </row>
    <row r="1486" spans="1:11">
      <c r="A1486" s="90" t="s">
        <v>4776</v>
      </c>
      <c r="B1486" s="90" t="s">
        <v>4777</v>
      </c>
      <c r="C1486" s="90" t="s">
        <v>10</v>
      </c>
      <c r="D1486" s="90" t="str">
        <f>VLOOKUP(Tabela1[[#This Row],[Origem]],'Perguntas 1 a 24'!$J$28:$K$34,2,FALSE)</f>
        <v>Centro-Oeste</v>
      </c>
      <c r="E1486" s="90" t="s">
        <v>12825</v>
      </c>
      <c r="F1486" s="91">
        <v>46343</v>
      </c>
      <c r="G1486" s="92">
        <v>112510</v>
      </c>
      <c r="H1486" s="90" t="s">
        <v>7</v>
      </c>
      <c r="I14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6" s="90" t="s">
        <v>4777</v>
      </c>
    </row>
    <row r="1487" spans="1:11">
      <c r="A1487" s="90" t="s">
        <v>5174</v>
      </c>
      <c r="B1487" s="90" t="s">
        <v>5175</v>
      </c>
      <c r="C1487" s="90" t="s">
        <v>10</v>
      </c>
      <c r="D1487" s="90" t="str">
        <f>VLOOKUP(Tabela1[[#This Row],[Origem]],'Perguntas 1 a 24'!$J$28:$K$34,2,FALSE)</f>
        <v>Centro-Oeste</v>
      </c>
      <c r="E1487" s="90" t="s">
        <v>12826</v>
      </c>
      <c r="F1487" s="91">
        <v>46344</v>
      </c>
      <c r="G1487" s="92">
        <v>77084</v>
      </c>
      <c r="H1487" s="90" t="s">
        <v>11</v>
      </c>
      <c r="I14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7" s="90" t="s">
        <v>5175</v>
      </c>
    </row>
    <row r="1488" spans="1:11">
      <c r="A1488" s="90" t="s">
        <v>5412</v>
      </c>
      <c r="B1488" s="90" t="s">
        <v>5413</v>
      </c>
      <c r="C1488" s="90" t="s">
        <v>6</v>
      </c>
      <c r="D1488" s="90" t="str">
        <f>VLOOKUP(Tabela1[[#This Row],[Origem]],'Perguntas 1 a 24'!$J$28:$K$34,2,FALSE)</f>
        <v>Nordeste</v>
      </c>
      <c r="E1488" s="90" t="s">
        <v>12827</v>
      </c>
      <c r="F1488" s="91">
        <v>46344</v>
      </c>
      <c r="G1488" s="92">
        <v>70286</v>
      </c>
      <c r="H1488" s="90" t="s">
        <v>14</v>
      </c>
      <c r="I14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8" s="90" t="s">
        <v>5413</v>
      </c>
    </row>
    <row r="1489" spans="1:11">
      <c r="A1489" s="90" t="s">
        <v>6778</v>
      </c>
      <c r="B1489" s="90" t="s">
        <v>6779</v>
      </c>
      <c r="C1489" s="90" t="s">
        <v>6</v>
      </c>
      <c r="D1489" s="90" t="str">
        <f>VLOOKUP(Tabela1[[#This Row],[Origem]],'Perguntas 1 a 24'!$J$28:$K$34,2,FALSE)</f>
        <v>Nordeste</v>
      </c>
      <c r="E1489" s="90" t="s">
        <v>12828</v>
      </c>
      <c r="F1489" s="91">
        <v>46344</v>
      </c>
      <c r="G1489" s="92">
        <v>87844</v>
      </c>
      <c r="H1489" s="90" t="s">
        <v>9</v>
      </c>
      <c r="I14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89" s="90" t="s">
        <v>6779</v>
      </c>
    </row>
    <row r="1490" spans="1:11">
      <c r="A1490" s="90" t="s">
        <v>9075</v>
      </c>
      <c r="B1490" s="90" t="s">
        <v>9076</v>
      </c>
      <c r="C1490" s="90" t="s">
        <v>6</v>
      </c>
      <c r="D1490" s="90" t="str">
        <f>VLOOKUP(Tabela1[[#This Row],[Origem]],'Perguntas 1 a 24'!$J$28:$K$34,2,FALSE)</f>
        <v>Nordeste</v>
      </c>
      <c r="E1490" s="90" t="s">
        <v>12829</v>
      </c>
      <c r="F1490" s="91">
        <v>46345</v>
      </c>
      <c r="G1490" s="92">
        <v>86002</v>
      </c>
      <c r="H1490" s="90" t="s">
        <v>11</v>
      </c>
      <c r="I14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90" s="90" t="s">
        <v>9076</v>
      </c>
    </row>
    <row r="1491" spans="1:11">
      <c r="A1491" s="90" t="s">
        <v>7850</v>
      </c>
      <c r="B1491" s="90" t="s">
        <v>7851</v>
      </c>
      <c r="C1491" s="90" t="s">
        <v>12</v>
      </c>
      <c r="D1491" s="90" t="str">
        <f>VLOOKUP(Tabela1[[#This Row],[Origem]],'Perguntas 1 a 24'!$J$28:$K$34,2,FALSE)</f>
        <v>Sudeste</v>
      </c>
      <c r="E1491" s="90" t="s">
        <v>12830</v>
      </c>
      <c r="F1491" s="91">
        <v>46346</v>
      </c>
      <c r="G1491" s="92">
        <v>117505</v>
      </c>
      <c r="H1491" s="90" t="s">
        <v>9</v>
      </c>
      <c r="I14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91" s="90" t="s">
        <v>7851</v>
      </c>
    </row>
    <row r="1492" spans="1:11">
      <c r="A1492" s="90" t="s">
        <v>9951</v>
      </c>
      <c r="B1492" s="90" t="s">
        <v>9952</v>
      </c>
      <c r="C1492" s="90" t="s">
        <v>13</v>
      </c>
      <c r="D1492" s="90" t="str">
        <f>VLOOKUP(Tabela1[[#This Row],[Origem]],'Perguntas 1 a 24'!$J$28:$K$34,2,FALSE)</f>
        <v>Sudeste</v>
      </c>
      <c r="E1492" s="90" t="s">
        <v>12831</v>
      </c>
      <c r="F1492" s="91">
        <v>46346</v>
      </c>
      <c r="G1492" s="92">
        <v>23913</v>
      </c>
      <c r="H1492" s="90" t="s">
        <v>9</v>
      </c>
      <c r="I14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92" s="90" t="s">
        <v>9952</v>
      </c>
    </row>
    <row r="1493" spans="1:11">
      <c r="A1493" s="90" t="s">
        <v>5630</v>
      </c>
      <c r="B1493" s="90" t="s">
        <v>5631</v>
      </c>
      <c r="C1493" s="90" t="s">
        <v>8</v>
      </c>
      <c r="D1493" s="90" t="str">
        <f>VLOOKUP(Tabela1[[#This Row],[Origem]],'Perguntas 1 a 24'!$J$28:$K$34,2,FALSE)</f>
        <v>Nordeste</v>
      </c>
      <c r="E1493" s="90" t="s">
        <v>12832</v>
      </c>
      <c r="F1493" s="91">
        <v>46347</v>
      </c>
      <c r="G1493" s="92">
        <v>101859</v>
      </c>
      <c r="H1493" s="90" t="s">
        <v>14</v>
      </c>
      <c r="I14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93" s="90" t="s">
        <v>5631</v>
      </c>
    </row>
    <row r="1494" spans="1:11">
      <c r="A1494" s="90" t="s">
        <v>7482</v>
      </c>
      <c r="B1494" s="90" t="s">
        <v>7483</v>
      </c>
      <c r="C1494" s="90" t="s">
        <v>12</v>
      </c>
      <c r="D1494" s="90" t="str">
        <f>VLOOKUP(Tabela1[[#This Row],[Origem]],'Perguntas 1 a 24'!$J$28:$K$34,2,FALSE)</f>
        <v>Sudeste</v>
      </c>
      <c r="E1494" s="90" t="s">
        <v>12833</v>
      </c>
      <c r="F1494" s="91">
        <v>46347</v>
      </c>
      <c r="G1494" s="92">
        <v>48541</v>
      </c>
      <c r="H1494" s="90" t="s">
        <v>11</v>
      </c>
      <c r="I14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94" s="90" t="s">
        <v>7483</v>
      </c>
    </row>
    <row r="1495" spans="1:11">
      <c r="A1495" s="90" t="s">
        <v>6104</v>
      </c>
      <c r="B1495" s="90" t="s">
        <v>6105</v>
      </c>
      <c r="C1495" s="90" t="s">
        <v>6</v>
      </c>
      <c r="D1495" s="90" t="str">
        <f>VLOOKUP(Tabela1[[#This Row],[Origem]],'Perguntas 1 a 24'!$J$28:$K$34,2,FALSE)</f>
        <v>Nordeste</v>
      </c>
      <c r="E1495" s="90" t="s">
        <v>12834</v>
      </c>
      <c r="F1495" s="91">
        <v>46348</v>
      </c>
      <c r="G1495" s="92">
        <v>35138</v>
      </c>
      <c r="H1495" s="90" t="s">
        <v>7</v>
      </c>
      <c r="I14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495" s="90" t="s">
        <v>6105</v>
      </c>
    </row>
    <row r="1496" spans="1:11">
      <c r="A1496" s="90" t="s">
        <v>7500</v>
      </c>
      <c r="B1496" s="90" t="s">
        <v>7501</v>
      </c>
      <c r="C1496" s="90" t="s">
        <v>16</v>
      </c>
      <c r="D1496" s="90" t="str">
        <f>VLOOKUP(Tabela1[[#This Row],[Origem]],'Perguntas 1 a 24'!$J$28:$K$34,2,FALSE)</f>
        <v>Sudeste</v>
      </c>
      <c r="E1496" s="90" t="s">
        <v>12835</v>
      </c>
      <c r="F1496" s="91">
        <v>46348</v>
      </c>
      <c r="G1496" s="92">
        <v>71346</v>
      </c>
      <c r="H1496" s="90" t="s">
        <v>7</v>
      </c>
      <c r="I14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96" s="90" t="s">
        <v>7501</v>
      </c>
    </row>
    <row r="1497" spans="1:11">
      <c r="A1497" s="90" t="s">
        <v>4162</v>
      </c>
      <c r="B1497" s="90" t="s">
        <v>4163</v>
      </c>
      <c r="C1497" s="90" t="s">
        <v>15</v>
      </c>
      <c r="D1497" s="90" t="str">
        <f>VLOOKUP(Tabela1[[#This Row],[Origem]],'Perguntas 1 a 24'!$J$28:$K$34,2,FALSE)</f>
        <v>Sudeste</v>
      </c>
      <c r="E1497" s="90" t="s">
        <v>12836</v>
      </c>
      <c r="F1497" s="91">
        <v>46349</v>
      </c>
      <c r="G1497" s="92">
        <v>80556</v>
      </c>
      <c r="H1497" s="90" t="s">
        <v>7</v>
      </c>
      <c r="I14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97" s="90" t="s">
        <v>4163</v>
      </c>
    </row>
    <row r="1498" spans="1:11">
      <c r="A1498" s="90" t="s">
        <v>5160</v>
      </c>
      <c r="B1498" s="90" t="s">
        <v>5161</v>
      </c>
      <c r="C1498" s="90" t="s">
        <v>16</v>
      </c>
      <c r="D1498" s="90" t="str">
        <f>VLOOKUP(Tabela1[[#This Row],[Origem]],'Perguntas 1 a 24'!$J$28:$K$34,2,FALSE)</f>
        <v>Sudeste</v>
      </c>
      <c r="E1498" s="90" t="s">
        <v>12837</v>
      </c>
      <c r="F1498" s="91">
        <v>46349</v>
      </c>
      <c r="G1498" s="92">
        <v>65950</v>
      </c>
      <c r="H1498" s="90" t="s">
        <v>11</v>
      </c>
      <c r="I14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98" s="90" t="s">
        <v>5161</v>
      </c>
    </row>
    <row r="1499" spans="1:11">
      <c r="A1499" s="90" t="s">
        <v>9535</v>
      </c>
      <c r="B1499" s="90" t="s">
        <v>9536</v>
      </c>
      <c r="C1499" s="90" t="s">
        <v>15</v>
      </c>
      <c r="D1499" s="90" t="str">
        <f>VLOOKUP(Tabela1[[#This Row],[Origem]],'Perguntas 1 a 24'!$J$28:$K$34,2,FALSE)</f>
        <v>Sudeste</v>
      </c>
      <c r="E1499" s="90" t="s">
        <v>12838</v>
      </c>
      <c r="F1499" s="91">
        <v>46349</v>
      </c>
      <c r="G1499" s="92">
        <v>64766</v>
      </c>
      <c r="H1499" s="90" t="s">
        <v>11</v>
      </c>
      <c r="I14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499" s="90" t="s">
        <v>9536</v>
      </c>
    </row>
    <row r="1500" spans="1:11">
      <c r="A1500" s="90" t="s">
        <v>6376</v>
      </c>
      <c r="B1500" s="90" t="s">
        <v>6377</v>
      </c>
      <c r="C1500" s="90" t="s">
        <v>15</v>
      </c>
      <c r="D1500" s="90" t="str">
        <f>VLOOKUP(Tabela1[[#This Row],[Origem]],'Perguntas 1 a 24'!$J$28:$K$34,2,FALSE)</f>
        <v>Sudeste</v>
      </c>
      <c r="E1500" s="90" t="s">
        <v>12839</v>
      </c>
      <c r="F1500" s="91">
        <v>46350</v>
      </c>
      <c r="G1500" s="92">
        <v>66355</v>
      </c>
      <c r="H1500" s="90" t="s">
        <v>14</v>
      </c>
      <c r="I15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00" s="90" t="s">
        <v>6377</v>
      </c>
    </row>
    <row r="1501" spans="1:11">
      <c r="A1501" s="90" t="s">
        <v>8482</v>
      </c>
      <c r="B1501" s="90" t="s">
        <v>8483</v>
      </c>
      <c r="C1501" s="90" t="s">
        <v>16</v>
      </c>
      <c r="D1501" s="90" t="str">
        <f>VLOOKUP(Tabela1[[#This Row],[Origem]],'Perguntas 1 a 24'!$J$28:$K$34,2,FALSE)</f>
        <v>Sudeste</v>
      </c>
      <c r="E1501" s="90" t="s">
        <v>12840</v>
      </c>
      <c r="F1501" s="91">
        <v>46350</v>
      </c>
      <c r="G1501" s="92">
        <v>90154</v>
      </c>
      <c r="H1501" s="90" t="s">
        <v>11</v>
      </c>
      <c r="I15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01" s="90" t="s">
        <v>8483</v>
      </c>
    </row>
    <row r="1502" spans="1:11">
      <c r="A1502" s="90" t="s">
        <v>4307</v>
      </c>
      <c r="B1502" s="90" t="s">
        <v>4308</v>
      </c>
      <c r="C1502" s="90" t="s">
        <v>8</v>
      </c>
      <c r="D1502" s="90" t="str">
        <f>VLOOKUP(Tabela1[[#This Row],[Origem]],'Perguntas 1 a 24'!$J$28:$K$34,2,FALSE)</f>
        <v>Nordeste</v>
      </c>
      <c r="E1502" s="90" t="s">
        <v>12841</v>
      </c>
      <c r="F1502" s="91">
        <v>46351</v>
      </c>
      <c r="G1502" s="92">
        <v>44242</v>
      </c>
      <c r="H1502" s="90" t="s">
        <v>9</v>
      </c>
      <c r="I15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02" s="90" t="s">
        <v>4308</v>
      </c>
    </row>
    <row r="1503" spans="1:11">
      <c r="A1503" s="90" t="s">
        <v>5836</v>
      </c>
      <c r="B1503" s="90" t="s">
        <v>5837</v>
      </c>
      <c r="C1503" s="90" t="s">
        <v>15</v>
      </c>
      <c r="D1503" s="90" t="str">
        <f>VLOOKUP(Tabela1[[#This Row],[Origem]],'Perguntas 1 a 24'!$J$28:$K$34,2,FALSE)</f>
        <v>Sudeste</v>
      </c>
      <c r="E1503" s="90" t="s">
        <v>12842</v>
      </c>
      <c r="F1503" s="91">
        <v>46351</v>
      </c>
      <c r="G1503" s="92">
        <v>59574</v>
      </c>
      <c r="H1503" s="90" t="s">
        <v>14</v>
      </c>
      <c r="I15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03" s="90" t="s">
        <v>5837</v>
      </c>
    </row>
    <row r="1504" spans="1:11">
      <c r="A1504" s="90" t="s">
        <v>9965</v>
      </c>
      <c r="B1504" s="90" t="s">
        <v>9966</v>
      </c>
      <c r="C1504" s="90" t="s">
        <v>6</v>
      </c>
      <c r="D1504" s="90" t="str">
        <f>VLOOKUP(Tabela1[[#This Row],[Origem]],'Perguntas 1 a 24'!$J$28:$K$34,2,FALSE)</f>
        <v>Nordeste</v>
      </c>
      <c r="E1504" s="90" t="s">
        <v>12843</v>
      </c>
      <c r="F1504" s="91">
        <v>46351</v>
      </c>
      <c r="G1504" s="92">
        <v>77571</v>
      </c>
      <c r="H1504" s="90" t="s">
        <v>7</v>
      </c>
      <c r="I15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04" s="90" t="s">
        <v>9966</v>
      </c>
    </row>
    <row r="1505" spans="1:11">
      <c r="A1505" s="90" t="s">
        <v>10811</v>
      </c>
      <c r="B1505" s="90" t="s">
        <v>10812</v>
      </c>
      <c r="C1505" s="90" t="s">
        <v>15</v>
      </c>
      <c r="D1505" s="90" t="str">
        <f>VLOOKUP(Tabela1[[#This Row],[Origem]],'Perguntas 1 a 24'!$J$28:$K$34,2,FALSE)</f>
        <v>Sudeste</v>
      </c>
      <c r="E1505" s="90" t="s">
        <v>12844</v>
      </c>
      <c r="F1505" s="91">
        <v>46351</v>
      </c>
      <c r="G1505" s="92">
        <v>107119</v>
      </c>
      <c r="H1505" s="90" t="s">
        <v>7</v>
      </c>
      <c r="I15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05" s="90" t="s">
        <v>10812</v>
      </c>
    </row>
    <row r="1506" spans="1:11">
      <c r="A1506" s="90" t="s">
        <v>7418</v>
      </c>
      <c r="B1506" s="90" t="s">
        <v>7419</v>
      </c>
      <c r="C1506" s="90" t="s">
        <v>12</v>
      </c>
      <c r="D1506" s="90" t="str">
        <f>VLOOKUP(Tabela1[[#This Row],[Origem]],'Perguntas 1 a 24'!$J$28:$K$34,2,FALSE)</f>
        <v>Sudeste</v>
      </c>
      <c r="E1506" s="90" t="s">
        <v>12845</v>
      </c>
      <c r="F1506" s="91">
        <v>46352</v>
      </c>
      <c r="G1506" s="92">
        <v>44507</v>
      </c>
      <c r="H1506" s="90" t="s">
        <v>14</v>
      </c>
      <c r="I15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06" s="90" t="s">
        <v>7419</v>
      </c>
    </row>
    <row r="1507" spans="1:11">
      <c r="A1507" s="90" t="s">
        <v>8208</v>
      </c>
      <c r="B1507" s="90" t="s">
        <v>8209</v>
      </c>
      <c r="C1507" s="90" t="s">
        <v>16</v>
      </c>
      <c r="D1507" s="90" t="str">
        <f>VLOOKUP(Tabela1[[#This Row],[Origem]],'Perguntas 1 a 24'!$J$28:$K$34,2,FALSE)</f>
        <v>Sudeste</v>
      </c>
      <c r="E1507" s="90" t="s">
        <v>12846</v>
      </c>
      <c r="F1507" s="91">
        <v>46352</v>
      </c>
      <c r="G1507" s="92">
        <v>91108</v>
      </c>
      <c r="H1507" s="90" t="s">
        <v>14</v>
      </c>
      <c r="I15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07" s="90" t="s">
        <v>8209</v>
      </c>
    </row>
    <row r="1508" spans="1:11">
      <c r="A1508" s="90" t="s">
        <v>4421</v>
      </c>
      <c r="B1508" s="90" t="s">
        <v>4422</v>
      </c>
      <c r="C1508" s="90" t="s">
        <v>16</v>
      </c>
      <c r="D1508" s="90" t="str">
        <f>VLOOKUP(Tabela1[[#This Row],[Origem]],'Perguntas 1 a 24'!$J$28:$K$34,2,FALSE)</f>
        <v>Sudeste</v>
      </c>
      <c r="E1508" s="90" t="s">
        <v>12847</v>
      </c>
      <c r="F1508" s="91">
        <v>46353</v>
      </c>
      <c r="G1508" s="92">
        <v>90897</v>
      </c>
      <c r="H1508" s="90" t="s">
        <v>7</v>
      </c>
      <c r="I15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08" s="90" t="s">
        <v>4422</v>
      </c>
    </row>
    <row r="1509" spans="1:11">
      <c r="A1509" s="90" t="s">
        <v>9017</v>
      </c>
      <c r="B1509" s="90" t="s">
        <v>9018</v>
      </c>
      <c r="C1509" s="90" t="s">
        <v>16</v>
      </c>
      <c r="D1509" s="90" t="str">
        <f>VLOOKUP(Tabela1[[#This Row],[Origem]],'Perguntas 1 a 24'!$J$28:$K$34,2,FALSE)</f>
        <v>Sudeste</v>
      </c>
      <c r="E1509" s="90" t="s">
        <v>12848</v>
      </c>
      <c r="F1509" s="91">
        <v>46353</v>
      </c>
      <c r="G1509" s="92">
        <v>96542</v>
      </c>
      <c r="H1509" s="90" t="s">
        <v>9</v>
      </c>
      <c r="I15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09" s="90" t="s">
        <v>9018</v>
      </c>
    </row>
    <row r="1510" spans="1:11">
      <c r="A1510" s="90" t="s">
        <v>7188</v>
      </c>
      <c r="B1510" s="90" t="s">
        <v>7189</v>
      </c>
      <c r="C1510" s="90" t="s">
        <v>6</v>
      </c>
      <c r="D1510" s="90" t="str">
        <f>VLOOKUP(Tabela1[[#This Row],[Origem]],'Perguntas 1 a 24'!$J$28:$K$34,2,FALSE)</f>
        <v>Nordeste</v>
      </c>
      <c r="E1510" s="90" t="s">
        <v>12849</v>
      </c>
      <c r="F1510" s="91">
        <v>46354</v>
      </c>
      <c r="G1510" s="92">
        <v>108781</v>
      </c>
      <c r="H1510" s="90" t="s">
        <v>7</v>
      </c>
      <c r="I15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0" s="90" t="s">
        <v>7189</v>
      </c>
    </row>
    <row r="1511" spans="1:11">
      <c r="A1511" s="90" t="s">
        <v>7742</v>
      </c>
      <c r="B1511" s="90" t="s">
        <v>7743</v>
      </c>
      <c r="C1511" s="90" t="s">
        <v>15</v>
      </c>
      <c r="D1511" s="90" t="str">
        <f>VLOOKUP(Tabela1[[#This Row],[Origem]],'Perguntas 1 a 24'!$J$28:$K$34,2,FALSE)</f>
        <v>Sudeste</v>
      </c>
      <c r="E1511" s="90" t="s">
        <v>12850</v>
      </c>
      <c r="F1511" s="91">
        <v>46354</v>
      </c>
      <c r="G1511" s="92">
        <v>110698</v>
      </c>
      <c r="H1511" s="90" t="s">
        <v>14</v>
      </c>
      <c r="I15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1" s="90" t="s">
        <v>7743</v>
      </c>
    </row>
    <row r="1512" spans="1:11">
      <c r="A1512" s="90" t="s">
        <v>8460</v>
      </c>
      <c r="B1512" s="90" t="s">
        <v>8461</v>
      </c>
      <c r="C1512" s="90" t="s">
        <v>8</v>
      </c>
      <c r="D1512" s="90" t="str">
        <f>VLOOKUP(Tabela1[[#This Row],[Origem]],'Perguntas 1 a 24'!$J$28:$K$34,2,FALSE)</f>
        <v>Nordeste</v>
      </c>
      <c r="E1512" s="90" t="s">
        <v>12851</v>
      </c>
      <c r="F1512" s="91">
        <v>46354</v>
      </c>
      <c r="G1512" s="92">
        <v>101020</v>
      </c>
      <c r="H1512" s="90" t="s">
        <v>14</v>
      </c>
      <c r="I15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2" s="90" t="s">
        <v>8461</v>
      </c>
    </row>
    <row r="1513" spans="1:11">
      <c r="A1513" s="90" t="s">
        <v>7472</v>
      </c>
      <c r="B1513" s="90" t="s">
        <v>7473</v>
      </c>
      <c r="C1513" s="90" t="s">
        <v>6</v>
      </c>
      <c r="D1513" s="90" t="str">
        <f>VLOOKUP(Tabela1[[#This Row],[Origem]],'Perguntas 1 a 24'!$J$28:$K$34,2,FALSE)</f>
        <v>Nordeste</v>
      </c>
      <c r="E1513" s="90" t="s">
        <v>12852</v>
      </c>
      <c r="F1513" s="91">
        <v>46355</v>
      </c>
      <c r="G1513" s="92">
        <v>113273</v>
      </c>
      <c r="H1513" s="90" t="s">
        <v>9</v>
      </c>
      <c r="I15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3" s="90" t="s">
        <v>7473</v>
      </c>
    </row>
    <row r="1514" spans="1:11">
      <c r="A1514" s="90" t="s">
        <v>7892</v>
      </c>
      <c r="B1514" s="90" t="s">
        <v>7893</v>
      </c>
      <c r="C1514" s="90" t="s">
        <v>12</v>
      </c>
      <c r="D1514" s="90" t="str">
        <f>VLOOKUP(Tabela1[[#This Row],[Origem]],'Perguntas 1 a 24'!$J$28:$K$34,2,FALSE)</f>
        <v>Sudeste</v>
      </c>
      <c r="E1514" s="90" t="s">
        <v>12853</v>
      </c>
      <c r="F1514" s="91">
        <v>46355</v>
      </c>
      <c r="G1514" s="92">
        <v>65669</v>
      </c>
      <c r="H1514" s="90" t="s">
        <v>7</v>
      </c>
      <c r="I15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4" s="90" t="s">
        <v>7893</v>
      </c>
    </row>
    <row r="1515" spans="1:11">
      <c r="A1515" s="90" t="s">
        <v>4874</v>
      </c>
      <c r="B1515" s="90" t="s">
        <v>4875</v>
      </c>
      <c r="C1515" s="90" t="s">
        <v>10</v>
      </c>
      <c r="D1515" s="90" t="str">
        <f>VLOOKUP(Tabela1[[#This Row],[Origem]],'Perguntas 1 a 24'!$J$28:$K$34,2,FALSE)</f>
        <v>Centro-Oeste</v>
      </c>
      <c r="E1515" s="90" t="s">
        <v>12854</v>
      </c>
      <c r="F1515" s="91">
        <v>46356</v>
      </c>
      <c r="G1515" s="92">
        <v>42001</v>
      </c>
      <c r="H1515" s="90" t="s">
        <v>9</v>
      </c>
      <c r="I15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15" s="90" t="s">
        <v>4875</v>
      </c>
    </row>
    <row r="1516" spans="1:11">
      <c r="A1516" s="90" t="s">
        <v>4900</v>
      </c>
      <c r="B1516" s="90" t="s">
        <v>4901</v>
      </c>
      <c r="C1516" s="90" t="s">
        <v>15</v>
      </c>
      <c r="D1516" s="90" t="str">
        <f>VLOOKUP(Tabela1[[#This Row],[Origem]],'Perguntas 1 a 24'!$J$28:$K$34,2,FALSE)</f>
        <v>Sudeste</v>
      </c>
      <c r="E1516" s="90" t="s">
        <v>12855</v>
      </c>
      <c r="F1516" s="91">
        <v>46356</v>
      </c>
      <c r="G1516" s="92">
        <v>108703</v>
      </c>
      <c r="H1516" s="90" t="s">
        <v>14</v>
      </c>
      <c r="I15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6" s="90" t="s">
        <v>4901</v>
      </c>
    </row>
    <row r="1517" spans="1:11">
      <c r="A1517" s="90" t="s">
        <v>8262</v>
      </c>
      <c r="B1517" s="90" t="s">
        <v>8263</v>
      </c>
      <c r="C1517" s="90" t="s">
        <v>16</v>
      </c>
      <c r="D1517" s="90" t="str">
        <f>VLOOKUP(Tabela1[[#This Row],[Origem]],'Perguntas 1 a 24'!$J$28:$K$34,2,FALSE)</f>
        <v>Sudeste</v>
      </c>
      <c r="E1517" s="90" t="s">
        <v>12856</v>
      </c>
      <c r="F1517" s="91">
        <v>46356</v>
      </c>
      <c r="G1517" s="92">
        <v>91189</v>
      </c>
      <c r="H1517" s="90" t="s">
        <v>7</v>
      </c>
      <c r="I15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7" s="90" t="s">
        <v>8263</v>
      </c>
    </row>
    <row r="1518" spans="1:11">
      <c r="A1518" s="90" t="s">
        <v>11147</v>
      </c>
      <c r="B1518" s="90" t="s">
        <v>11148</v>
      </c>
      <c r="C1518" s="90" t="s">
        <v>15</v>
      </c>
      <c r="D1518" s="90" t="str">
        <f>VLOOKUP(Tabela1[[#This Row],[Origem]],'Perguntas 1 a 24'!$J$28:$K$34,2,FALSE)</f>
        <v>Sudeste</v>
      </c>
      <c r="E1518" s="90" t="s">
        <v>12857</v>
      </c>
      <c r="F1518" s="91">
        <v>46356</v>
      </c>
      <c r="G1518" s="92">
        <v>68113</v>
      </c>
      <c r="H1518" s="90" t="s">
        <v>9</v>
      </c>
      <c r="I15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8" s="90" t="s">
        <v>11148</v>
      </c>
    </row>
    <row r="1519" spans="1:11">
      <c r="A1519" s="90" t="s">
        <v>4283</v>
      </c>
      <c r="B1519" s="90" t="s">
        <v>4284</v>
      </c>
      <c r="C1519" s="90" t="s">
        <v>8</v>
      </c>
      <c r="D1519" s="90" t="str">
        <f>VLOOKUP(Tabela1[[#This Row],[Origem]],'Perguntas 1 a 24'!$J$28:$K$34,2,FALSE)</f>
        <v>Nordeste</v>
      </c>
      <c r="E1519" s="90" t="s">
        <v>12858</v>
      </c>
      <c r="F1519" s="91">
        <v>46357</v>
      </c>
      <c r="G1519" s="92">
        <v>53779</v>
      </c>
      <c r="H1519" s="90" t="s">
        <v>14</v>
      </c>
      <c r="I15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19" s="90" t="s">
        <v>4284</v>
      </c>
    </row>
    <row r="1520" spans="1:11">
      <c r="A1520" s="90" t="s">
        <v>6220</v>
      </c>
      <c r="B1520" s="90" t="s">
        <v>6221</v>
      </c>
      <c r="C1520" s="90" t="s">
        <v>6</v>
      </c>
      <c r="D1520" s="90" t="str">
        <f>VLOOKUP(Tabela1[[#This Row],[Origem]],'Perguntas 1 a 24'!$J$28:$K$34,2,FALSE)</f>
        <v>Nordeste</v>
      </c>
      <c r="E1520" s="90" t="s">
        <v>12859</v>
      </c>
      <c r="F1520" s="91">
        <v>46357</v>
      </c>
      <c r="G1520" s="92">
        <v>112574</v>
      </c>
      <c r="H1520" s="90" t="s">
        <v>14</v>
      </c>
      <c r="I15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20" s="90" t="s">
        <v>6221</v>
      </c>
    </row>
    <row r="1521" spans="1:11">
      <c r="A1521" s="90" t="s">
        <v>4140</v>
      </c>
      <c r="B1521" s="90" t="s">
        <v>4141</v>
      </c>
      <c r="C1521" s="90" t="s">
        <v>16</v>
      </c>
      <c r="D1521" s="90" t="str">
        <f>VLOOKUP(Tabela1[[#This Row],[Origem]],'Perguntas 1 a 24'!$J$28:$K$34,2,FALSE)</f>
        <v>Sudeste</v>
      </c>
      <c r="E1521" s="90" t="s">
        <v>12860</v>
      </c>
      <c r="F1521" s="91">
        <v>46358</v>
      </c>
      <c r="G1521" s="92">
        <v>23290</v>
      </c>
      <c r="H1521" s="90" t="s">
        <v>9</v>
      </c>
      <c r="I15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21" s="90" t="s">
        <v>4141</v>
      </c>
    </row>
    <row r="1522" spans="1:11">
      <c r="A1522" s="90" t="s">
        <v>7148</v>
      </c>
      <c r="B1522" s="90" t="s">
        <v>7149</v>
      </c>
      <c r="C1522" s="90" t="s">
        <v>16</v>
      </c>
      <c r="D1522" s="90" t="str">
        <f>VLOOKUP(Tabela1[[#This Row],[Origem]],'Perguntas 1 a 24'!$J$28:$K$34,2,FALSE)</f>
        <v>Sudeste</v>
      </c>
      <c r="E1522" s="90" t="s">
        <v>12861</v>
      </c>
      <c r="F1522" s="91">
        <v>46358</v>
      </c>
      <c r="G1522" s="92">
        <v>44715</v>
      </c>
      <c r="H1522" s="90" t="s">
        <v>9</v>
      </c>
      <c r="I15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22" s="90" t="s">
        <v>7149</v>
      </c>
    </row>
    <row r="1523" spans="1:11">
      <c r="A1523" s="90" t="s">
        <v>9415</v>
      </c>
      <c r="B1523" s="90" t="s">
        <v>9416</v>
      </c>
      <c r="C1523" s="90" t="s">
        <v>12</v>
      </c>
      <c r="D1523" s="90" t="str">
        <f>VLOOKUP(Tabela1[[#This Row],[Origem]],'Perguntas 1 a 24'!$J$28:$K$34,2,FALSE)</f>
        <v>Sudeste</v>
      </c>
      <c r="E1523" s="90" t="s">
        <v>12862</v>
      </c>
      <c r="F1523" s="91">
        <v>46358</v>
      </c>
      <c r="G1523" s="92">
        <v>110517</v>
      </c>
      <c r="H1523" s="90" t="s">
        <v>9</v>
      </c>
      <c r="I15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23" s="90" t="s">
        <v>9416</v>
      </c>
    </row>
    <row r="1524" spans="1:11">
      <c r="A1524" s="90" t="s">
        <v>11058</v>
      </c>
      <c r="B1524" s="90" t="s">
        <v>11059</v>
      </c>
      <c r="C1524" s="90" t="s">
        <v>12</v>
      </c>
      <c r="D1524" s="90" t="str">
        <f>VLOOKUP(Tabela1[[#This Row],[Origem]],'Perguntas 1 a 24'!$J$28:$K$34,2,FALSE)</f>
        <v>Sudeste</v>
      </c>
      <c r="E1524" s="90" t="s">
        <v>12863</v>
      </c>
      <c r="F1524" s="91">
        <v>46358</v>
      </c>
      <c r="G1524" s="92">
        <v>106292</v>
      </c>
      <c r="H1524" s="90" t="s">
        <v>7</v>
      </c>
      <c r="I15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24" s="90" t="s">
        <v>11059</v>
      </c>
    </row>
    <row r="1525" spans="1:11">
      <c r="A1525" s="90" t="s">
        <v>10119</v>
      </c>
      <c r="B1525" s="90" t="s">
        <v>10120</v>
      </c>
      <c r="C1525" s="90" t="s">
        <v>16</v>
      </c>
      <c r="D1525" s="90" t="str">
        <f>VLOOKUP(Tabela1[[#This Row],[Origem]],'Perguntas 1 a 24'!$J$28:$K$34,2,FALSE)</f>
        <v>Sudeste</v>
      </c>
      <c r="E1525" s="90" t="s">
        <v>12864</v>
      </c>
      <c r="F1525" s="91">
        <v>46359</v>
      </c>
      <c r="G1525" s="92">
        <v>102589</v>
      </c>
      <c r="H1525" s="90" t="s">
        <v>9</v>
      </c>
      <c r="I15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25" s="90" t="s">
        <v>10120</v>
      </c>
    </row>
    <row r="1526" spans="1:11">
      <c r="A1526" s="90" t="s">
        <v>6608</v>
      </c>
      <c r="B1526" s="90" t="s">
        <v>6609</v>
      </c>
      <c r="C1526" s="90" t="s">
        <v>13</v>
      </c>
      <c r="D1526" s="90" t="str">
        <f>VLOOKUP(Tabela1[[#This Row],[Origem]],'Perguntas 1 a 24'!$J$28:$K$34,2,FALSE)</f>
        <v>Sudeste</v>
      </c>
      <c r="E1526" s="90" t="s">
        <v>12865</v>
      </c>
      <c r="F1526" s="91">
        <v>46360</v>
      </c>
      <c r="G1526" s="92">
        <v>88354</v>
      </c>
      <c r="H1526" s="90" t="s">
        <v>11</v>
      </c>
      <c r="I15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26" s="90" t="s">
        <v>6609</v>
      </c>
    </row>
    <row r="1527" spans="1:11">
      <c r="A1527" s="90" t="s">
        <v>10317</v>
      </c>
      <c r="B1527" s="90" t="s">
        <v>10318</v>
      </c>
      <c r="C1527" s="90" t="s">
        <v>6</v>
      </c>
      <c r="D1527" s="90" t="str">
        <f>VLOOKUP(Tabela1[[#This Row],[Origem]],'Perguntas 1 a 24'!$J$28:$K$34,2,FALSE)</f>
        <v>Nordeste</v>
      </c>
      <c r="E1527" s="90" t="s">
        <v>12866</v>
      </c>
      <c r="F1527" s="91">
        <v>46360</v>
      </c>
      <c r="G1527" s="92">
        <v>31003</v>
      </c>
      <c r="H1527" s="90" t="s">
        <v>11</v>
      </c>
      <c r="I15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27" s="90" t="s">
        <v>10318</v>
      </c>
    </row>
    <row r="1528" spans="1:11">
      <c r="A1528" s="90" t="s">
        <v>10221</v>
      </c>
      <c r="B1528" s="90" t="s">
        <v>10222</v>
      </c>
      <c r="C1528" s="90" t="s">
        <v>15</v>
      </c>
      <c r="D1528" s="90" t="str">
        <f>VLOOKUP(Tabela1[[#This Row],[Origem]],'Perguntas 1 a 24'!$J$28:$K$34,2,FALSE)</f>
        <v>Sudeste</v>
      </c>
      <c r="E1528" s="90" t="s">
        <v>12867</v>
      </c>
      <c r="F1528" s="91">
        <v>46361</v>
      </c>
      <c r="G1528" s="92">
        <v>28891</v>
      </c>
      <c r="H1528" s="90" t="s">
        <v>9</v>
      </c>
      <c r="I15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28" s="90" t="s">
        <v>10222</v>
      </c>
    </row>
    <row r="1529" spans="1:11">
      <c r="A1529" s="90" t="s">
        <v>11277</v>
      </c>
      <c r="B1529" s="90" t="s">
        <v>11278</v>
      </c>
      <c r="C1529" s="90" t="s">
        <v>6</v>
      </c>
      <c r="D1529" s="90" t="str">
        <f>VLOOKUP(Tabela1[[#This Row],[Origem]],'Perguntas 1 a 24'!$J$28:$K$34,2,FALSE)</f>
        <v>Nordeste</v>
      </c>
      <c r="E1529" s="90" t="s">
        <v>12868</v>
      </c>
      <c r="F1529" s="91">
        <v>46362</v>
      </c>
      <c r="G1529" s="92">
        <v>109383</v>
      </c>
      <c r="H1529" s="90" t="s">
        <v>14</v>
      </c>
      <c r="I15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29" s="90" t="s">
        <v>11278</v>
      </c>
    </row>
    <row r="1530" spans="1:11">
      <c r="A1530" s="90" t="s">
        <v>5942</v>
      </c>
      <c r="B1530" s="90" t="s">
        <v>5943</v>
      </c>
      <c r="C1530" s="90" t="s">
        <v>15</v>
      </c>
      <c r="D1530" s="90" t="str">
        <f>VLOOKUP(Tabela1[[#This Row],[Origem]],'Perguntas 1 a 24'!$J$28:$K$34,2,FALSE)</f>
        <v>Sudeste</v>
      </c>
      <c r="E1530" s="90" t="s">
        <v>12869</v>
      </c>
      <c r="F1530" s="91">
        <v>46363</v>
      </c>
      <c r="G1530" s="92">
        <v>119753</v>
      </c>
      <c r="H1530" s="90" t="s">
        <v>14</v>
      </c>
      <c r="I15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30" s="90" t="s">
        <v>5943</v>
      </c>
    </row>
    <row r="1531" spans="1:11">
      <c r="A1531" s="90" t="s">
        <v>6666</v>
      </c>
      <c r="B1531" s="90" t="s">
        <v>6667</v>
      </c>
      <c r="C1531" s="90" t="s">
        <v>8</v>
      </c>
      <c r="D1531" s="90" t="str">
        <f>VLOOKUP(Tabela1[[#This Row],[Origem]],'Perguntas 1 a 24'!$J$28:$K$34,2,FALSE)</f>
        <v>Nordeste</v>
      </c>
      <c r="E1531" s="90" t="s">
        <v>12870</v>
      </c>
      <c r="F1531" s="91">
        <v>46363</v>
      </c>
      <c r="G1531" s="92">
        <v>23143</v>
      </c>
      <c r="H1531" s="90" t="s">
        <v>9</v>
      </c>
      <c r="I15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31" s="90" t="s">
        <v>6667</v>
      </c>
    </row>
    <row r="1532" spans="1:11">
      <c r="A1532" s="90" t="s">
        <v>9179</v>
      </c>
      <c r="B1532" s="90" t="s">
        <v>9180</v>
      </c>
      <c r="C1532" s="90" t="s">
        <v>16</v>
      </c>
      <c r="D1532" s="90" t="str">
        <f>VLOOKUP(Tabela1[[#This Row],[Origem]],'Perguntas 1 a 24'!$J$28:$K$34,2,FALSE)</f>
        <v>Sudeste</v>
      </c>
      <c r="E1532" s="90" t="s">
        <v>12871</v>
      </c>
      <c r="F1532" s="91">
        <v>46363</v>
      </c>
      <c r="G1532" s="92">
        <v>71628</v>
      </c>
      <c r="H1532" s="90" t="s">
        <v>7</v>
      </c>
      <c r="I15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32" s="90" t="s">
        <v>9180</v>
      </c>
    </row>
    <row r="1533" spans="1:11">
      <c r="A1533" s="90" t="s">
        <v>9721</v>
      </c>
      <c r="B1533" s="90" t="s">
        <v>9722</v>
      </c>
      <c r="C1533" s="90" t="s">
        <v>15</v>
      </c>
      <c r="D1533" s="90" t="str">
        <f>VLOOKUP(Tabela1[[#This Row],[Origem]],'Perguntas 1 a 24'!$J$28:$K$34,2,FALSE)</f>
        <v>Sudeste</v>
      </c>
      <c r="E1533" s="90" t="s">
        <v>12872</v>
      </c>
      <c r="F1533" s="91">
        <v>46364</v>
      </c>
      <c r="G1533" s="92">
        <v>87945</v>
      </c>
      <c r="H1533" s="90" t="s">
        <v>9</v>
      </c>
      <c r="I15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33" s="90" t="s">
        <v>9722</v>
      </c>
    </row>
    <row r="1534" spans="1:11">
      <c r="A1534" s="90" t="s">
        <v>10595</v>
      </c>
      <c r="B1534" s="90" t="s">
        <v>10596</v>
      </c>
      <c r="C1534" s="90" t="s">
        <v>8</v>
      </c>
      <c r="D1534" s="90" t="str">
        <f>VLOOKUP(Tabela1[[#This Row],[Origem]],'Perguntas 1 a 24'!$J$28:$K$34,2,FALSE)</f>
        <v>Nordeste</v>
      </c>
      <c r="E1534" s="90" t="s">
        <v>12873</v>
      </c>
      <c r="F1534" s="91">
        <v>46364</v>
      </c>
      <c r="G1534" s="92">
        <v>30841</v>
      </c>
      <c r="H1534" s="90" t="s">
        <v>14</v>
      </c>
      <c r="I15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34" s="90" t="s">
        <v>10596</v>
      </c>
    </row>
    <row r="1535" spans="1:11">
      <c r="A1535" s="90" t="s">
        <v>6030</v>
      </c>
      <c r="B1535" s="90" t="s">
        <v>6031</v>
      </c>
      <c r="C1535" s="90" t="s">
        <v>13</v>
      </c>
      <c r="D1535" s="90" t="str">
        <f>VLOOKUP(Tabela1[[#This Row],[Origem]],'Perguntas 1 a 24'!$J$28:$K$34,2,FALSE)</f>
        <v>Sudeste</v>
      </c>
      <c r="E1535" s="90" t="s">
        <v>12874</v>
      </c>
      <c r="F1535" s="91">
        <v>46365</v>
      </c>
      <c r="G1535" s="92">
        <v>58959</v>
      </c>
      <c r="H1535" s="90" t="s">
        <v>7</v>
      </c>
      <c r="I15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35" s="90" t="s">
        <v>6031</v>
      </c>
    </row>
    <row r="1536" spans="1:11">
      <c r="A1536" s="90" t="s">
        <v>9043</v>
      </c>
      <c r="B1536" s="90" t="s">
        <v>9044</v>
      </c>
      <c r="C1536" s="90" t="s">
        <v>6</v>
      </c>
      <c r="D1536" s="90" t="str">
        <f>VLOOKUP(Tabela1[[#This Row],[Origem]],'Perguntas 1 a 24'!$J$28:$K$34,2,FALSE)</f>
        <v>Nordeste</v>
      </c>
      <c r="E1536" s="90" t="s">
        <v>12875</v>
      </c>
      <c r="F1536" s="91">
        <v>46365</v>
      </c>
      <c r="G1536" s="92">
        <v>113908</v>
      </c>
      <c r="H1536" s="90" t="s">
        <v>14</v>
      </c>
      <c r="I15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36" s="90" t="s">
        <v>9044</v>
      </c>
    </row>
    <row r="1537" spans="1:11">
      <c r="A1537" s="90" t="s">
        <v>9131</v>
      </c>
      <c r="B1537" s="90" t="s">
        <v>9132</v>
      </c>
      <c r="C1537" s="90" t="s">
        <v>10</v>
      </c>
      <c r="D1537" s="90" t="str">
        <f>VLOOKUP(Tabela1[[#This Row],[Origem]],'Perguntas 1 a 24'!$J$28:$K$34,2,FALSE)</f>
        <v>Centro-Oeste</v>
      </c>
      <c r="E1537" s="90" t="s">
        <v>12876</v>
      </c>
      <c r="F1537" s="91">
        <v>46365</v>
      </c>
      <c r="G1537" s="92">
        <v>89620</v>
      </c>
      <c r="H1537" s="90" t="s">
        <v>14</v>
      </c>
      <c r="I15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37" s="90" t="s">
        <v>9132</v>
      </c>
    </row>
    <row r="1538" spans="1:11">
      <c r="A1538" s="90" t="s">
        <v>7372</v>
      </c>
      <c r="B1538" s="90" t="s">
        <v>7373</v>
      </c>
      <c r="C1538" s="90" t="s">
        <v>12</v>
      </c>
      <c r="D1538" s="90" t="str">
        <f>VLOOKUP(Tabela1[[#This Row],[Origem]],'Perguntas 1 a 24'!$J$28:$K$34,2,FALSE)</f>
        <v>Sudeste</v>
      </c>
      <c r="E1538" s="90" t="s">
        <v>12877</v>
      </c>
      <c r="F1538" s="91">
        <v>46366</v>
      </c>
      <c r="G1538" s="92">
        <v>74495</v>
      </c>
      <c r="H1538" s="90" t="s">
        <v>11</v>
      </c>
      <c r="I15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38" s="90" t="s">
        <v>7373</v>
      </c>
    </row>
    <row r="1539" spans="1:11">
      <c r="A1539" s="90" t="s">
        <v>7628</v>
      </c>
      <c r="B1539" s="90" t="s">
        <v>7629</v>
      </c>
      <c r="C1539" s="90" t="s">
        <v>13</v>
      </c>
      <c r="D1539" s="90" t="str">
        <f>VLOOKUP(Tabela1[[#This Row],[Origem]],'Perguntas 1 a 24'!$J$28:$K$34,2,FALSE)</f>
        <v>Sudeste</v>
      </c>
      <c r="E1539" s="90" t="s">
        <v>12878</v>
      </c>
      <c r="F1539" s="91">
        <v>46366</v>
      </c>
      <c r="G1539" s="92">
        <v>89637</v>
      </c>
      <c r="H1539" s="90" t="s">
        <v>7</v>
      </c>
      <c r="I15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39" s="90" t="s">
        <v>7629</v>
      </c>
    </row>
    <row r="1540" spans="1:11">
      <c r="A1540" s="90" t="s">
        <v>8330</v>
      </c>
      <c r="B1540" s="90" t="s">
        <v>8331</v>
      </c>
      <c r="C1540" s="90" t="s">
        <v>6</v>
      </c>
      <c r="D1540" s="90" t="str">
        <f>VLOOKUP(Tabela1[[#This Row],[Origem]],'Perguntas 1 a 24'!$J$28:$K$34,2,FALSE)</f>
        <v>Nordeste</v>
      </c>
      <c r="E1540" s="90" t="s">
        <v>12879</v>
      </c>
      <c r="F1540" s="91">
        <v>46366</v>
      </c>
      <c r="G1540" s="92">
        <v>65615</v>
      </c>
      <c r="H1540" s="90" t="s">
        <v>14</v>
      </c>
      <c r="I15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40" s="90" t="s">
        <v>8331</v>
      </c>
    </row>
    <row r="1541" spans="1:11">
      <c r="A1541" s="90" t="s">
        <v>5324</v>
      </c>
      <c r="B1541" s="90" t="s">
        <v>5325</v>
      </c>
      <c r="C1541" s="90" t="s">
        <v>8</v>
      </c>
      <c r="D1541" s="90" t="str">
        <f>VLOOKUP(Tabela1[[#This Row],[Origem]],'Perguntas 1 a 24'!$J$28:$K$34,2,FALSE)</f>
        <v>Nordeste</v>
      </c>
      <c r="E1541" s="90" t="s">
        <v>12880</v>
      </c>
      <c r="F1541" s="91">
        <v>46367</v>
      </c>
      <c r="G1541" s="92">
        <v>24569</v>
      </c>
      <c r="H1541" s="90" t="s">
        <v>11</v>
      </c>
      <c r="I15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41" s="90" t="s">
        <v>5325</v>
      </c>
    </row>
    <row r="1542" spans="1:11">
      <c r="A1542" s="90" t="s">
        <v>7390</v>
      </c>
      <c r="B1542" s="90" t="s">
        <v>7391</v>
      </c>
      <c r="C1542" s="90" t="s">
        <v>12</v>
      </c>
      <c r="D1542" s="90" t="str">
        <f>VLOOKUP(Tabela1[[#This Row],[Origem]],'Perguntas 1 a 24'!$J$28:$K$34,2,FALSE)</f>
        <v>Sudeste</v>
      </c>
      <c r="E1542" s="90" t="s">
        <v>12881</v>
      </c>
      <c r="F1542" s="91">
        <v>46367</v>
      </c>
      <c r="G1542" s="92">
        <v>68782</v>
      </c>
      <c r="H1542" s="90" t="s">
        <v>11</v>
      </c>
      <c r="I15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42" s="90" t="s">
        <v>7391</v>
      </c>
    </row>
    <row r="1543" spans="1:11">
      <c r="A1543" s="90" t="s">
        <v>8488</v>
      </c>
      <c r="B1543" s="90" t="s">
        <v>8489</v>
      </c>
      <c r="C1543" s="90" t="s">
        <v>16</v>
      </c>
      <c r="D1543" s="90" t="str">
        <f>VLOOKUP(Tabela1[[#This Row],[Origem]],'Perguntas 1 a 24'!$J$28:$K$34,2,FALSE)</f>
        <v>Sudeste</v>
      </c>
      <c r="E1543" s="90" t="s">
        <v>12882</v>
      </c>
      <c r="F1543" s="91">
        <v>46367</v>
      </c>
      <c r="G1543" s="92">
        <v>38962</v>
      </c>
      <c r="H1543" s="90" t="s">
        <v>9</v>
      </c>
      <c r="I15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43" s="90" t="s">
        <v>8489</v>
      </c>
    </row>
    <row r="1544" spans="1:11">
      <c r="A1544" s="90" t="s">
        <v>10209</v>
      </c>
      <c r="B1544" s="90" t="s">
        <v>10210</v>
      </c>
      <c r="C1544" s="90" t="s">
        <v>15</v>
      </c>
      <c r="D1544" s="90" t="str">
        <f>VLOOKUP(Tabela1[[#This Row],[Origem]],'Perguntas 1 a 24'!$J$28:$K$34,2,FALSE)</f>
        <v>Sudeste</v>
      </c>
      <c r="E1544" s="90" t="s">
        <v>12883</v>
      </c>
      <c r="F1544" s="91">
        <v>46367</v>
      </c>
      <c r="G1544" s="92">
        <v>94430</v>
      </c>
      <c r="H1544" s="90" t="s">
        <v>9</v>
      </c>
      <c r="I15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44" s="90" t="s">
        <v>10210</v>
      </c>
    </row>
    <row r="1545" spans="1:11">
      <c r="A1545" s="90" t="s">
        <v>3708</v>
      </c>
      <c r="B1545" s="90" t="s">
        <v>3709</v>
      </c>
      <c r="C1545" s="90" t="s">
        <v>12</v>
      </c>
      <c r="D1545" s="90" t="str">
        <f>VLOOKUP(Tabela1[[#This Row],[Origem]],'Perguntas 1 a 24'!$J$28:$K$34,2,FALSE)</f>
        <v>Sudeste</v>
      </c>
      <c r="E1545" s="90" t="s">
        <v>12884</v>
      </c>
      <c r="F1545" s="91">
        <v>46368</v>
      </c>
      <c r="G1545" s="92">
        <v>48480</v>
      </c>
      <c r="H1545" s="90" t="s">
        <v>11</v>
      </c>
      <c r="I15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45" s="90" t="s">
        <v>3709</v>
      </c>
    </row>
    <row r="1546" spans="1:11">
      <c r="A1546" s="90" t="s">
        <v>5556</v>
      </c>
      <c r="B1546" s="90" t="s">
        <v>5557</v>
      </c>
      <c r="C1546" s="90" t="s">
        <v>6</v>
      </c>
      <c r="D1546" s="90" t="str">
        <f>VLOOKUP(Tabela1[[#This Row],[Origem]],'Perguntas 1 a 24'!$J$28:$K$34,2,FALSE)</f>
        <v>Nordeste</v>
      </c>
      <c r="E1546" s="90" t="s">
        <v>12885</v>
      </c>
      <c r="F1546" s="91">
        <v>46368</v>
      </c>
      <c r="G1546" s="92">
        <v>119050</v>
      </c>
      <c r="H1546" s="90" t="s">
        <v>14</v>
      </c>
      <c r="I15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46" s="90" t="s">
        <v>5557</v>
      </c>
    </row>
    <row r="1547" spans="1:11">
      <c r="A1547" s="90" t="s">
        <v>6260</v>
      </c>
      <c r="B1547" s="90" t="s">
        <v>6261</v>
      </c>
      <c r="C1547" s="90" t="s">
        <v>6</v>
      </c>
      <c r="D1547" s="90" t="str">
        <f>VLOOKUP(Tabela1[[#This Row],[Origem]],'Perguntas 1 a 24'!$J$28:$K$34,2,FALSE)</f>
        <v>Nordeste</v>
      </c>
      <c r="E1547" s="90" t="s">
        <v>12886</v>
      </c>
      <c r="F1547" s="91">
        <v>46368</v>
      </c>
      <c r="G1547" s="92">
        <v>29599</v>
      </c>
      <c r="H1547" s="90" t="s">
        <v>11</v>
      </c>
      <c r="I15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47" s="90" t="s">
        <v>6261</v>
      </c>
    </row>
    <row r="1548" spans="1:11">
      <c r="A1548" s="90" t="s">
        <v>10895</v>
      </c>
      <c r="B1548" s="90" t="s">
        <v>10896</v>
      </c>
      <c r="C1548" s="90" t="s">
        <v>12</v>
      </c>
      <c r="D1548" s="90" t="str">
        <f>VLOOKUP(Tabela1[[#This Row],[Origem]],'Perguntas 1 a 24'!$J$28:$K$34,2,FALSE)</f>
        <v>Sudeste</v>
      </c>
      <c r="E1548" s="90" t="s">
        <v>12887</v>
      </c>
      <c r="F1548" s="91">
        <v>46368</v>
      </c>
      <c r="G1548" s="92">
        <v>92068</v>
      </c>
      <c r="H1548" s="90" t="s">
        <v>7</v>
      </c>
      <c r="I15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48" s="90" t="s">
        <v>10896</v>
      </c>
    </row>
    <row r="1549" spans="1:11">
      <c r="A1549" s="90" t="s">
        <v>11096</v>
      </c>
      <c r="B1549" s="90" t="s">
        <v>11097</v>
      </c>
      <c r="C1549" s="90" t="s">
        <v>16</v>
      </c>
      <c r="D1549" s="90" t="str">
        <f>VLOOKUP(Tabela1[[#This Row],[Origem]],'Perguntas 1 a 24'!$J$28:$K$34,2,FALSE)</f>
        <v>Sudeste</v>
      </c>
      <c r="E1549" s="90" t="s">
        <v>12888</v>
      </c>
      <c r="F1549" s="91">
        <v>46369</v>
      </c>
      <c r="G1549" s="92">
        <v>86266</v>
      </c>
      <c r="H1549" s="90" t="s">
        <v>14</v>
      </c>
      <c r="I15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49" s="90" t="s">
        <v>11097</v>
      </c>
    </row>
    <row r="1550" spans="1:11">
      <c r="A1550" s="90" t="s">
        <v>3822</v>
      </c>
      <c r="B1550" s="90" t="s">
        <v>3823</v>
      </c>
      <c r="C1550" s="90" t="s">
        <v>12</v>
      </c>
      <c r="D1550" s="90" t="str">
        <f>VLOOKUP(Tabela1[[#This Row],[Origem]],'Perguntas 1 a 24'!$J$28:$K$34,2,FALSE)</f>
        <v>Sudeste</v>
      </c>
      <c r="E1550" s="90" t="s">
        <v>12889</v>
      </c>
      <c r="F1550" s="91">
        <v>46370</v>
      </c>
      <c r="G1550" s="92">
        <v>92053</v>
      </c>
      <c r="H1550" s="90" t="s">
        <v>7</v>
      </c>
      <c r="I15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0" s="90" t="s">
        <v>3823</v>
      </c>
    </row>
    <row r="1551" spans="1:11">
      <c r="A1551" s="90" t="s">
        <v>7540</v>
      </c>
      <c r="B1551" s="90" t="s">
        <v>7541</v>
      </c>
      <c r="C1551" s="90" t="s">
        <v>15</v>
      </c>
      <c r="D1551" s="90" t="str">
        <f>VLOOKUP(Tabela1[[#This Row],[Origem]],'Perguntas 1 a 24'!$J$28:$K$34,2,FALSE)</f>
        <v>Sudeste</v>
      </c>
      <c r="E1551" s="90" t="s">
        <v>12890</v>
      </c>
      <c r="F1551" s="91">
        <v>46370</v>
      </c>
      <c r="G1551" s="92">
        <v>72171</v>
      </c>
      <c r="H1551" s="90" t="s">
        <v>11</v>
      </c>
      <c r="I15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1" s="90" t="s">
        <v>7541</v>
      </c>
    </row>
    <row r="1552" spans="1:11">
      <c r="A1552" s="90" t="s">
        <v>9599</v>
      </c>
      <c r="B1552" s="90" t="s">
        <v>9600</v>
      </c>
      <c r="C1552" s="90" t="s">
        <v>10</v>
      </c>
      <c r="D1552" s="90" t="str">
        <f>VLOOKUP(Tabela1[[#This Row],[Origem]],'Perguntas 1 a 24'!$J$28:$K$34,2,FALSE)</f>
        <v>Centro-Oeste</v>
      </c>
      <c r="E1552" s="90" t="s">
        <v>12891</v>
      </c>
      <c r="F1552" s="91">
        <v>46370</v>
      </c>
      <c r="G1552" s="92">
        <v>81871</v>
      </c>
      <c r="H1552" s="90" t="s">
        <v>9</v>
      </c>
      <c r="I15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2" s="90" t="s">
        <v>9600</v>
      </c>
    </row>
    <row r="1553" spans="1:11">
      <c r="A1553" s="90" t="s">
        <v>6422</v>
      </c>
      <c r="B1553" s="90" t="s">
        <v>6423</v>
      </c>
      <c r="C1553" s="90" t="s">
        <v>6</v>
      </c>
      <c r="D1553" s="90" t="str">
        <f>VLOOKUP(Tabela1[[#This Row],[Origem]],'Perguntas 1 a 24'!$J$28:$K$34,2,FALSE)</f>
        <v>Nordeste</v>
      </c>
      <c r="E1553" s="90" t="s">
        <v>12892</v>
      </c>
      <c r="F1553" s="91">
        <v>46372</v>
      </c>
      <c r="G1553" s="92">
        <v>74302</v>
      </c>
      <c r="H1553" s="90" t="s">
        <v>7</v>
      </c>
      <c r="I15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3" s="90" t="s">
        <v>6423</v>
      </c>
    </row>
    <row r="1554" spans="1:11">
      <c r="A1554" s="90" t="s">
        <v>8218</v>
      </c>
      <c r="B1554" s="90" t="s">
        <v>8219</v>
      </c>
      <c r="C1554" s="90" t="s">
        <v>10</v>
      </c>
      <c r="D1554" s="90" t="str">
        <f>VLOOKUP(Tabela1[[#This Row],[Origem]],'Perguntas 1 a 24'!$J$28:$K$34,2,FALSE)</f>
        <v>Centro-Oeste</v>
      </c>
      <c r="E1554" s="90" t="s">
        <v>12893</v>
      </c>
      <c r="F1554" s="91">
        <v>46372</v>
      </c>
      <c r="G1554" s="92">
        <v>95819</v>
      </c>
      <c r="H1554" s="90" t="s">
        <v>9</v>
      </c>
      <c r="I15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4" s="90" t="s">
        <v>8219</v>
      </c>
    </row>
    <row r="1555" spans="1:11">
      <c r="A1555" s="90" t="s">
        <v>8336</v>
      </c>
      <c r="B1555" s="90" t="s">
        <v>8337</v>
      </c>
      <c r="C1555" s="90" t="s">
        <v>16</v>
      </c>
      <c r="D1555" s="90" t="str">
        <f>VLOOKUP(Tabela1[[#This Row],[Origem]],'Perguntas 1 a 24'!$J$28:$K$34,2,FALSE)</f>
        <v>Sudeste</v>
      </c>
      <c r="E1555" s="90" t="s">
        <v>12894</v>
      </c>
      <c r="F1555" s="91">
        <v>46372</v>
      </c>
      <c r="G1555" s="92">
        <v>63197</v>
      </c>
      <c r="H1555" s="90" t="s">
        <v>7</v>
      </c>
      <c r="I15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5" s="90" t="s">
        <v>8337</v>
      </c>
    </row>
    <row r="1556" spans="1:11">
      <c r="A1556" s="90" t="s">
        <v>8506</v>
      </c>
      <c r="B1556" s="90" t="s">
        <v>8507</v>
      </c>
      <c r="C1556" s="90" t="s">
        <v>10</v>
      </c>
      <c r="D1556" s="90" t="str">
        <f>VLOOKUP(Tabela1[[#This Row],[Origem]],'Perguntas 1 a 24'!$J$28:$K$34,2,FALSE)</f>
        <v>Centro-Oeste</v>
      </c>
      <c r="E1556" s="90" t="s">
        <v>12895</v>
      </c>
      <c r="F1556" s="91">
        <v>46372</v>
      </c>
      <c r="G1556" s="92">
        <v>67080</v>
      </c>
      <c r="H1556" s="90" t="s">
        <v>7</v>
      </c>
      <c r="I15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6" s="90" t="s">
        <v>8507</v>
      </c>
    </row>
    <row r="1557" spans="1:11">
      <c r="A1557" s="90" t="s">
        <v>5850</v>
      </c>
      <c r="B1557" s="90" t="s">
        <v>5851</v>
      </c>
      <c r="C1557" s="90" t="s">
        <v>13</v>
      </c>
      <c r="D1557" s="90" t="str">
        <f>VLOOKUP(Tabela1[[#This Row],[Origem]],'Perguntas 1 a 24'!$J$28:$K$34,2,FALSE)</f>
        <v>Sudeste</v>
      </c>
      <c r="E1557" s="90" t="s">
        <v>12896</v>
      </c>
      <c r="F1557" s="91">
        <v>46373</v>
      </c>
      <c r="G1557" s="92">
        <v>92659</v>
      </c>
      <c r="H1557" s="90" t="s">
        <v>11</v>
      </c>
      <c r="I15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7" s="90" t="s">
        <v>5851</v>
      </c>
    </row>
    <row r="1558" spans="1:11">
      <c r="A1558" s="90" t="s">
        <v>6558</v>
      </c>
      <c r="B1558" s="90" t="s">
        <v>6559</v>
      </c>
      <c r="C1558" s="90" t="s">
        <v>16</v>
      </c>
      <c r="D1558" s="90" t="str">
        <f>VLOOKUP(Tabela1[[#This Row],[Origem]],'Perguntas 1 a 24'!$J$28:$K$34,2,FALSE)</f>
        <v>Sudeste</v>
      </c>
      <c r="E1558" s="90" t="s">
        <v>12897</v>
      </c>
      <c r="F1558" s="91">
        <v>46373</v>
      </c>
      <c r="G1558" s="92">
        <v>21836</v>
      </c>
      <c r="H1558" s="90" t="s">
        <v>14</v>
      </c>
      <c r="I15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58" s="90" t="s">
        <v>6559</v>
      </c>
    </row>
    <row r="1559" spans="1:11">
      <c r="A1559" s="90" t="s">
        <v>5096</v>
      </c>
      <c r="B1559" s="90" t="s">
        <v>5097</v>
      </c>
      <c r="C1559" s="90" t="s">
        <v>6</v>
      </c>
      <c r="D1559" s="90" t="str">
        <f>VLOOKUP(Tabela1[[#This Row],[Origem]],'Perguntas 1 a 24'!$J$28:$K$34,2,FALSE)</f>
        <v>Nordeste</v>
      </c>
      <c r="E1559" s="90" t="s">
        <v>12898</v>
      </c>
      <c r="F1559" s="91">
        <v>46374</v>
      </c>
      <c r="G1559" s="92">
        <v>56787</v>
      </c>
      <c r="H1559" s="90" t="s">
        <v>7</v>
      </c>
      <c r="I15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59" s="90" t="s">
        <v>5097</v>
      </c>
    </row>
    <row r="1560" spans="1:11">
      <c r="A1560" s="90" t="s">
        <v>5750</v>
      </c>
      <c r="B1560" s="90" t="s">
        <v>5751</v>
      </c>
      <c r="C1560" s="90" t="s">
        <v>8</v>
      </c>
      <c r="D1560" s="90" t="str">
        <f>VLOOKUP(Tabela1[[#This Row],[Origem]],'Perguntas 1 a 24'!$J$28:$K$34,2,FALSE)</f>
        <v>Nordeste</v>
      </c>
      <c r="E1560" s="90" t="s">
        <v>12899</v>
      </c>
      <c r="F1560" s="91">
        <v>46374</v>
      </c>
      <c r="G1560" s="92">
        <v>74038</v>
      </c>
      <c r="H1560" s="90" t="s">
        <v>7</v>
      </c>
      <c r="I15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60" s="90" t="s">
        <v>5751</v>
      </c>
    </row>
    <row r="1561" spans="1:11">
      <c r="A1561" s="90" t="s">
        <v>11109</v>
      </c>
      <c r="B1561" s="90" t="s">
        <v>11110</v>
      </c>
      <c r="C1561" s="90" t="s">
        <v>8</v>
      </c>
      <c r="D1561" s="90" t="str">
        <f>VLOOKUP(Tabela1[[#This Row],[Origem]],'Perguntas 1 a 24'!$J$28:$K$34,2,FALSE)</f>
        <v>Nordeste</v>
      </c>
      <c r="E1561" s="90" t="s">
        <v>12900</v>
      </c>
      <c r="F1561" s="91">
        <v>46374</v>
      </c>
      <c r="G1561" s="92">
        <v>52874</v>
      </c>
      <c r="H1561" s="90" t="s">
        <v>14</v>
      </c>
      <c r="I15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61" s="90" t="s">
        <v>11110</v>
      </c>
    </row>
    <row r="1562" spans="1:11">
      <c r="A1562" s="90" t="s">
        <v>4301</v>
      </c>
      <c r="B1562" s="90" t="s">
        <v>4302</v>
      </c>
      <c r="C1562" s="90" t="s">
        <v>8</v>
      </c>
      <c r="D1562" s="90" t="str">
        <f>VLOOKUP(Tabela1[[#This Row],[Origem]],'Perguntas 1 a 24'!$J$28:$K$34,2,FALSE)</f>
        <v>Nordeste</v>
      </c>
      <c r="E1562" s="90" t="s">
        <v>12901</v>
      </c>
      <c r="F1562" s="91">
        <v>46376</v>
      </c>
      <c r="G1562" s="92">
        <v>25654</v>
      </c>
      <c r="H1562" s="90" t="s">
        <v>7</v>
      </c>
      <c r="I15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62" s="90" t="s">
        <v>4302</v>
      </c>
    </row>
    <row r="1563" spans="1:11">
      <c r="A1563" s="90" t="s">
        <v>3966</v>
      </c>
      <c r="B1563" s="90" t="s">
        <v>3967</v>
      </c>
      <c r="C1563" s="90" t="s">
        <v>6</v>
      </c>
      <c r="D1563" s="90" t="str">
        <f>VLOOKUP(Tabela1[[#This Row],[Origem]],'Perguntas 1 a 24'!$J$28:$K$34,2,FALSE)</f>
        <v>Nordeste</v>
      </c>
      <c r="E1563" s="90" t="s">
        <v>12902</v>
      </c>
      <c r="F1563" s="91">
        <v>46377</v>
      </c>
      <c r="G1563" s="92">
        <v>101734</v>
      </c>
      <c r="H1563" s="90" t="s">
        <v>9</v>
      </c>
      <c r="I15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63" s="90" t="s">
        <v>3967</v>
      </c>
    </row>
    <row r="1564" spans="1:11">
      <c r="A1564" s="90" t="s">
        <v>9357</v>
      </c>
      <c r="B1564" s="90" t="s">
        <v>9358</v>
      </c>
      <c r="C1564" s="90" t="s">
        <v>16</v>
      </c>
      <c r="D1564" s="90" t="str">
        <f>VLOOKUP(Tabela1[[#This Row],[Origem]],'Perguntas 1 a 24'!$J$28:$K$34,2,FALSE)</f>
        <v>Sudeste</v>
      </c>
      <c r="E1564" s="90" t="s">
        <v>12903</v>
      </c>
      <c r="F1564" s="91">
        <v>46377</v>
      </c>
      <c r="G1564" s="92">
        <v>107685</v>
      </c>
      <c r="H1564" s="90" t="s">
        <v>14</v>
      </c>
      <c r="I15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64" s="90" t="s">
        <v>9358</v>
      </c>
    </row>
    <row r="1565" spans="1:11">
      <c r="A1565" s="90" t="s">
        <v>6980</v>
      </c>
      <c r="B1565" s="90" t="s">
        <v>6981</v>
      </c>
      <c r="C1565" s="90" t="s">
        <v>16</v>
      </c>
      <c r="D1565" s="90" t="str">
        <f>VLOOKUP(Tabela1[[#This Row],[Origem]],'Perguntas 1 a 24'!$J$28:$K$34,2,FALSE)</f>
        <v>Sudeste</v>
      </c>
      <c r="E1565" s="90" t="s">
        <v>12904</v>
      </c>
      <c r="F1565" s="91">
        <v>46378</v>
      </c>
      <c r="G1565" s="92">
        <v>82842</v>
      </c>
      <c r="H1565" s="90" t="s">
        <v>9</v>
      </c>
      <c r="I15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65" s="90" t="s">
        <v>6981</v>
      </c>
    </row>
    <row r="1566" spans="1:11">
      <c r="A1566" s="90" t="s">
        <v>9465</v>
      </c>
      <c r="B1566" s="90" t="s">
        <v>9466</v>
      </c>
      <c r="C1566" s="90" t="s">
        <v>15</v>
      </c>
      <c r="D1566" s="90" t="str">
        <f>VLOOKUP(Tabela1[[#This Row],[Origem]],'Perguntas 1 a 24'!$J$28:$K$34,2,FALSE)</f>
        <v>Sudeste</v>
      </c>
      <c r="E1566" s="90" t="s">
        <v>12905</v>
      </c>
      <c r="F1566" s="91">
        <v>46379</v>
      </c>
      <c r="G1566" s="92">
        <v>111328</v>
      </c>
      <c r="H1566" s="90" t="s">
        <v>7</v>
      </c>
      <c r="I15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66" s="90" t="s">
        <v>9466</v>
      </c>
    </row>
    <row r="1567" spans="1:11">
      <c r="A1567" s="90" t="s">
        <v>4275</v>
      </c>
      <c r="B1567" s="90" t="s">
        <v>4276</v>
      </c>
      <c r="C1567" s="90" t="s">
        <v>8</v>
      </c>
      <c r="D1567" s="90" t="str">
        <f>VLOOKUP(Tabela1[[#This Row],[Origem]],'Perguntas 1 a 24'!$J$28:$K$34,2,FALSE)</f>
        <v>Nordeste</v>
      </c>
      <c r="E1567" s="90" t="s">
        <v>12906</v>
      </c>
      <c r="F1567" s="91">
        <v>46380</v>
      </c>
      <c r="G1567" s="92">
        <v>81057</v>
      </c>
      <c r="H1567" s="90" t="s">
        <v>7</v>
      </c>
      <c r="I15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67" s="90" t="s">
        <v>4276</v>
      </c>
    </row>
    <row r="1568" spans="1:11">
      <c r="A1568" s="90" t="s">
        <v>6974</v>
      </c>
      <c r="B1568" s="90" t="s">
        <v>6975</v>
      </c>
      <c r="C1568" s="90" t="s">
        <v>15</v>
      </c>
      <c r="D1568" s="90" t="str">
        <f>VLOOKUP(Tabela1[[#This Row],[Origem]],'Perguntas 1 a 24'!$J$28:$K$34,2,FALSE)</f>
        <v>Sudeste</v>
      </c>
      <c r="E1568" s="90" t="s">
        <v>12907</v>
      </c>
      <c r="F1568" s="91">
        <v>46381</v>
      </c>
      <c r="G1568" s="92">
        <v>32552</v>
      </c>
      <c r="H1568" s="90" t="s">
        <v>9</v>
      </c>
      <c r="I15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68" s="90" t="s">
        <v>6975</v>
      </c>
    </row>
    <row r="1569" spans="1:11">
      <c r="A1569" s="90" t="s">
        <v>9687</v>
      </c>
      <c r="B1569" s="90" t="s">
        <v>9688</v>
      </c>
      <c r="C1569" s="90" t="s">
        <v>13</v>
      </c>
      <c r="D1569" s="90" t="str">
        <f>VLOOKUP(Tabela1[[#This Row],[Origem]],'Perguntas 1 a 24'!$J$28:$K$34,2,FALSE)</f>
        <v>Sudeste</v>
      </c>
      <c r="E1569" s="90" t="s">
        <v>12908</v>
      </c>
      <c r="F1569" s="91">
        <v>46381</v>
      </c>
      <c r="G1569" s="92">
        <v>103229</v>
      </c>
      <c r="H1569" s="90" t="s">
        <v>11</v>
      </c>
      <c r="I15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69" s="90" t="s">
        <v>9688</v>
      </c>
    </row>
    <row r="1570" spans="1:11">
      <c r="A1570" s="90" t="s">
        <v>10929</v>
      </c>
      <c r="B1570" s="90" t="s">
        <v>10930</v>
      </c>
      <c r="C1570" s="90" t="s">
        <v>12</v>
      </c>
      <c r="D1570" s="90" t="str">
        <f>VLOOKUP(Tabela1[[#This Row],[Origem]],'Perguntas 1 a 24'!$J$28:$K$34,2,FALSE)</f>
        <v>Sudeste</v>
      </c>
      <c r="E1570" s="90" t="s">
        <v>12909</v>
      </c>
      <c r="F1570" s="91">
        <v>46381</v>
      </c>
      <c r="G1570" s="92">
        <v>65994</v>
      </c>
      <c r="H1570" s="90" t="s">
        <v>7</v>
      </c>
      <c r="I15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70" s="90" t="s">
        <v>10930</v>
      </c>
    </row>
    <row r="1571" spans="1:11">
      <c r="A1571" s="90" t="s">
        <v>5380</v>
      </c>
      <c r="B1571" s="90" t="s">
        <v>5381</v>
      </c>
      <c r="C1571" s="90" t="s">
        <v>8</v>
      </c>
      <c r="D1571" s="90" t="str">
        <f>VLOOKUP(Tabela1[[#This Row],[Origem]],'Perguntas 1 a 24'!$J$28:$K$34,2,FALSE)</f>
        <v>Nordeste</v>
      </c>
      <c r="E1571" s="90" t="s">
        <v>12910</v>
      </c>
      <c r="F1571" s="91">
        <v>46382</v>
      </c>
      <c r="G1571" s="92">
        <v>112687</v>
      </c>
      <c r="H1571" s="90" t="s">
        <v>9</v>
      </c>
      <c r="I15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71" s="90" t="s">
        <v>5381</v>
      </c>
    </row>
    <row r="1572" spans="1:11">
      <c r="A1572" s="90" t="s">
        <v>5804</v>
      </c>
      <c r="B1572" s="90" t="s">
        <v>5805</v>
      </c>
      <c r="C1572" s="90" t="s">
        <v>12</v>
      </c>
      <c r="D1572" s="90" t="str">
        <f>VLOOKUP(Tabela1[[#This Row],[Origem]],'Perguntas 1 a 24'!$J$28:$K$34,2,FALSE)</f>
        <v>Sudeste</v>
      </c>
      <c r="E1572" s="90" t="s">
        <v>12911</v>
      </c>
      <c r="F1572" s="91">
        <v>46382</v>
      </c>
      <c r="G1572" s="92">
        <v>116957</v>
      </c>
      <c r="H1572" s="90" t="s">
        <v>14</v>
      </c>
      <c r="I15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72" s="90" t="s">
        <v>5805</v>
      </c>
    </row>
    <row r="1573" spans="1:11">
      <c r="A1573" s="90" t="s">
        <v>6892</v>
      </c>
      <c r="B1573" s="90" t="s">
        <v>6893</v>
      </c>
      <c r="C1573" s="90" t="s">
        <v>10</v>
      </c>
      <c r="D1573" s="90" t="str">
        <f>VLOOKUP(Tabela1[[#This Row],[Origem]],'Perguntas 1 a 24'!$J$28:$K$34,2,FALSE)</f>
        <v>Centro-Oeste</v>
      </c>
      <c r="E1573" s="90" t="s">
        <v>12912</v>
      </c>
      <c r="F1573" s="91">
        <v>46382</v>
      </c>
      <c r="G1573" s="92">
        <v>42932</v>
      </c>
      <c r="H1573" s="90" t="s">
        <v>9</v>
      </c>
      <c r="I15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73" s="90" t="s">
        <v>6893</v>
      </c>
    </row>
    <row r="1574" spans="1:11">
      <c r="A1574" s="90" t="s">
        <v>4760</v>
      </c>
      <c r="B1574" s="90" t="s">
        <v>4761</v>
      </c>
      <c r="C1574" s="90" t="s">
        <v>10</v>
      </c>
      <c r="D1574" s="90" t="str">
        <f>VLOOKUP(Tabela1[[#This Row],[Origem]],'Perguntas 1 a 24'!$J$28:$K$34,2,FALSE)</f>
        <v>Centro-Oeste</v>
      </c>
      <c r="E1574" s="90" t="s">
        <v>12913</v>
      </c>
      <c r="F1574" s="91">
        <v>46383</v>
      </c>
      <c r="G1574" s="92">
        <v>115670</v>
      </c>
      <c r="H1574" s="90" t="s">
        <v>14</v>
      </c>
      <c r="I15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74" s="90" t="s">
        <v>4761</v>
      </c>
    </row>
    <row r="1575" spans="1:11">
      <c r="A1575" s="90" t="s">
        <v>4100</v>
      </c>
      <c r="B1575" s="90" t="s">
        <v>4101</v>
      </c>
      <c r="C1575" s="90" t="s">
        <v>15</v>
      </c>
      <c r="D1575" s="90" t="str">
        <f>VLOOKUP(Tabela1[[#This Row],[Origem]],'Perguntas 1 a 24'!$J$28:$K$34,2,FALSE)</f>
        <v>Sudeste</v>
      </c>
      <c r="E1575" s="90" t="s">
        <v>12914</v>
      </c>
      <c r="F1575" s="91">
        <v>46385</v>
      </c>
      <c r="G1575" s="92">
        <v>70557</v>
      </c>
      <c r="H1575" s="90" t="s">
        <v>9</v>
      </c>
      <c r="I15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75" s="90" t="s">
        <v>4101</v>
      </c>
    </row>
    <row r="1576" spans="1:11">
      <c r="A1576" s="90" t="s">
        <v>6998</v>
      </c>
      <c r="B1576" s="90" t="s">
        <v>6999</v>
      </c>
      <c r="C1576" s="90" t="s">
        <v>16</v>
      </c>
      <c r="D1576" s="90" t="str">
        <f>VLOOKUP(Tabela1[[#This Row],[Origem]],'Perguntas 1 a 24'!$J$28:$K$34,2,FALSE)</f>
        <v>Sudeste</v>
      </c>
      <c r="E1576" s="90" t="s">
        <v>12915</v>
      </c>
      <c r="F1576" s="91">
        <v>46385</v>
      </c>
      <c r="G1576" s="92">
        <v>51250</v>
      </c>
      <c r="H1576" s="90" t="s">
        <v>14</v>
      </c>
      <c r="I15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76" s="90" t="s">
        <v>6999</v>
      </c>
    </row>
    <row r="1577" spans="1:11">
      <c r="A1577" s="90" t="s">
        <v>9197</v>
      </c>
      <c r="B1577" s="90" t="s">
        <v>9198</v>
      </c>
      <c r="C1577" s="90" t="s">
        <v>6</v>
      </c>
      <c r="D1577" s="90" t="str">
        <f>VLOOKUP(Tabela1[[#This Row],[Origem]],'Perguntas 1 a 24'!$J$28:$K$34,2,FALSE)</f>
        <v>Nordeste</v>
      </c>
      <c r="E1577" s="90" t="s">
        <v>12916</v>
      </c>
      <c r="F1577" s="91">
        <v>46385</v>
      </c>
      <c r="G1577" s="92">
        <v>26332</v>
      </c>
      <c r="H1577" s="90" t="s">
        <v>11</v>
      </c>
      <c r="I15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77" s="90" t="s">
        <v>9198</v>
      </c>
    </row>
    <row r="1578" spans="1:11">
      <c r="A1578" s="90" t="s">
        <v>10265</v>
      </c>
      <c r="B1578" s="90" t="s">
        <v>10266</v>
      </c>
      <c r="C1578" s="90" t="s">
        <v>13</v>
      </c>
      <c r="D1578" s="90" t="str">
        <f>VLOOKUP(Tabela1[[#This Row],[Origem]],'Perguntas 1 a 24'!$J$28:$K$34,2,FALSE)</f>
        <v>Sudeste</v>
      </c>
      <c r="E1578" s="90" t="s">
        <v>12917</v>
      </c>
      <c r="F1578" s="91">
        <v>46385</v>
      </c>
      <c r="G1578" s="92">
        <v>50431</v>
      </c>
      <c r="H1578" s="90" t="s">
        <v>11</v>
      </c>
      <c r="I15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78" s="90" t="s">
        <v>10266</v>
      </c>
    </row>
    <row r="1579" spans="1:11">
      <c r="A1579" s="90" t="s">
        <v>6148</v>
      </c>
      <c r="B1579" s="90" t="s">
        <v>6149</v>
      </c>
      <c r="C1579" s="90" t="s">
        <v>12</v>
      </c>
      <c r="D1579" s="90" t="str">
        <f>VLOOKUP(Tabela1[[#This Row],[Origem]],'Perguntas 1 a 24'!$J$28:$K$34,2,FALSE)</f>
        <v>Sudeste</v>
      </c>
      <c r="E1579" s="90" t="s">
        <v>12918</v>
      </c>
      <c r="F1579" s="91">
        <v>46388</v>
      </c>
      <c r="G1579" s="92">
        <v>51866</v>
      </c>
      <c r="H1579" s="90" t="s">
        <v>7</v>
      </c>
      <c r="I15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79" s="90" t="s">
        <v>6149</v>
      </c>
    </row>
    <row r="1580" spans="1:11">
      <c r="A1580" s="90" t="s">
        <v>4932</v>
      </c>
      <c r="B1580" s="90" t="s">
        <v>4933</v>
      </c>
      <c r="C1580" s="90" t="s">
        <v>10</v>
      </c>
      <c r="D1580" s="90" t="str">
        <f>VLOOKUP(Tabela1[[#This Row],[Origem]],'Perguntas 1 a 24'!$J$28:$K$34,2,FALSE)</f>
        <v>Centro-Oeste</v>
      </c>
      <c r="E1580" s="90" t="s">
        <v>12919</v>
      </c>
      <c r="F1580" s="91">
        <v>46389</v>
      </c>
      <c r="G1580" s="92">
        <v>37999</v>
      </c>
      <c r="H1580" s="90" t="s">
        <v>9</v>
      </c>
      <c r="I15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80" s="90" t="s">
        <v>4933</v>
      </c>
    </row>
    <row r="1581" spans="1:11">
      <c r="A1581" s="90" t="s">
        <v>4788</v>
      </c>
      <c r="B1581" s="90" t="s">
        <v>4789</v>
      </c>
      <c r="C1581" s="90" t="s">
        <v>12</v>
      </c>
      <c r="D1581" s="90" t="str">
        <f>VLOOKUP(Tabela1[[#This Row],[Origem]],'Perguntas 1 a 24'!$J$28:$K$34,2,FALSE)</f>
        <v>Sudeste</v>
      </c>
      <c r="E1581" s="90" t="s">
        <v>12920</v>
      </c>
      <c r="F1581" s="91">
        <v>46391</v>
      </c>
      <c r="G1581" s="92">
        <v>20952</v>
      </c>
      <c r="H1581" s="90" t="s">
        <v>11</v>
      </c>
      <c r="I15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81" s="90" t="s">
        <v>4789</v>
      </c>
    </row>
    <row r="1582" spans="1:11">
      <c r="A1582" s="90" t="s">
        <v>7090</v>
      </c>
      <c r="B1582" s="90" t="s">
        <v>7091</v>
      </c>
      <c r="C1582" s="90" t="s">
        <v>16</v>
      </c>
      <c r="D1582" s="90" t="str">
        <f>VLOOKUP(Tabela1[[#This Row],[Origem]],'Perguntas 1 a 24'!$J$28:$K$34,2,FALSE)</f>
        <v>Sudeste</v>
      </c>
      <c r="E1582" s="90" t="s">
        <v>12921</v>
      </c>
      <c r="F1582" s="91">
        <v>46391</v>
      </c>
      <c r="G1582" s="92">
        <v>20286</v>
      </c>
      <c r="H1582" s="90" t="s">
        <v>11</v>
      </c>
      <c r="I15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82" s="90" t="s">
        <v>7091</v>
      </c>
    </row>
    <row r="1583" spans="1:11">
      <c r="A1583" s="90" t="s">
        <v>8613</v>
      </c>
      <c r="B1583" s="90" t="s">
        <v>8614</v>
      </c>
      <c r="C1583" s="90" t="s">
        <v>15</v>
      </c>
      <c r="D1583" s="90" t="str">
        <f>VLOOKUP(Tabela1[[#This Row],[Origem]],'Perguntas 1 a 24'!$J$28:$K$34,2,FALSE)</f>
        <v>Sudeste</v>
      </c>
      <c r="E1583" s="90" t="s">
        <v>12922</v>
      </c>
      <c r="F1583" s="91">
        <v>46391</v>
      </c>
      <c r="G1583" s="92">
        <v>106157</v>
      </c>
      <c r="H1583" s="90" t="s">
        <v>7</v>
      </c>
      <c r="I15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83" s="90" t="s">
        <v>8614</v>
      </c>
    </row>
    <row r="1584" spans="1:11">
      <c r="A1584" s="90" t="s">
        <v>9035</v>
      </c>
      <c r="B1584" s="90" t="s">
        <v>9036</v>
      </c>
      <c r="C1584" s="90" t="s">
        <v>10</v>
      </c>
      <c r="D1584" s="90" t="str">
        <f>VLOOKUP(Tabela1[[#This Row],[Origem]],'Perguntas 1 a 24'!$J$28:$K$34,2,FALSE)</f>
        <v>Centro-Oeste</v>
      </c>
      <c r="E1584" s="90" t="s">
        <v>12923</v>
      </c>
      <c r="F1584" s="91">
        <v>46391</v>
      </c>
      <c r="G1584" s="92">
        <v>98087</v>
      </c>
      <c r="H1584" s="90" t="s">
        <v>14</v>
      </c>
      <c r="I15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84" s="90" t="s">
        <v>9036</v>
      </c>
    </row>
    <row r="1585" spans="1:11">
      <c r="A1585" s="90" t="s">
        <v>8747</v>
      </c>
      <c r="B1585" s="90" t="s">
        <v>8748</v>
      </c>
      <c r="C1585" s="90" t="s">
        <v>6</v>
      </c>
      <c r="D1585" s="90" t="str">
        <f>VLOOKUP(Tabela1[[#This Row],[Origem]],'Perguntas 1 a 24'!$J$28:$K$34,2,FALSE)</f>
        <v>Nordeste</v>
      </c>
      <c r="E1585" s="90" t="s">
        <v>12924</v>
      </c>
      <c r="F1585" s="91">
        <v>46392</v>
      </c>
      <c r="G1585" s="92">
        <v>113530</v>
      </c>
      <c r="H1585" s="90" t="s">
        <v>14</v>
      </c>
      <c r="I15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85" s="90" t="s">
        <v>8748</v>
      </c>
    </row>
    <row r="1586" spans="1:11">
      <c r="A1586" s="90" t="s">
        <v>4956</v>
      </c>
      <c r="B1586" s="90" t="s">
        <v>4957</v>
      </c>
      <c r="C1586" s="90" t="s">
        <v>15</v>
      </c>
      <c r="D1586" s="90" t="str">
        <f>VLOOKUP(Tabela1[[#This Row],[Origem]],'Perguntas 1 a 24'!$J$28:$K$34,2,FALSE)</f>
        <v>Sudeste</v>
      </c>
      <c r="E1586" s="90" t="s">
        <v>12925</v>
      </c>
      <c r="F1586" s="91">
        <v>46393</v>
      </c>
      <c r="G1586" s="92">
        <v>20139</v>
      </c>
      <c r="H1586" s="90" t="s">
        <v>7</v>
      </c>
      <c r="I15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86" s="90" t="s">
        <v>4957</v>
      </c>
    </row>
    <row r="1587" spans="1:11">
      <c r="A1587" s="90" t="s">
        <v>8268</v>
      </c>
      <c r="B1587" s="90" t="s">
        <v>8269</v>
      </c>
      <c r="C1587" s="90" t="s">
        <v>10</v>
      </c>
      <c r="D1587" s="90" t="str">
        <f>VLOOKUP(Tabela1[[#This Row],[Origem]],'Perguntas 1 a 24'!$J$28:$K$34,2,FALSE)</f>
        <v>Centro-Oeste</v>
      </c>
      <c r="E1587" s="90" t="s">
        <v>12926</v>
      </c>
      <c r="F1587" s="91">
        <v>46393</v>
      </c>
      <c r="G1587" s="92">
        <v>63906</v>
      </c>
      <c r="H1587" s="90" t="s">
        <v>14</v>
      </c>
      <c r="I15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87" s="90" t="s">
        <v>8269</v>
      </c>
    </row>
    <row r="1588" spans="1:11">
      <c r="A1588" s="90" t="s">
        <v>8420</v>
      </c>
      <c r="B1588" s="90" t="s">
        <v>8421</v>
      </c>
      <c r="C1588" s="90" t="s">
        <v>10</v>
      </c>
      <c r="D1588" s="90" t="str">
        <f>VLOOKUP(Tabela1[[#This Row],[Origem]],'Perguntas 1 a 24'!$J$28:$K$34,2,FALSE)</f>
        <v>Centro-Oeste</v>
      </c>
      <c r="E1588" s="90" t="s">
        <v>12927</v>
      </c>
      <c r="F1588" s="91">
        <v>46395</v>
      </c>
      <c r="G1588" s="92">
        <v>29827</v>
      </c>
      <c r="H1588" s="90" t="s">
        <v>9</v>
      </c>
      <c r="I15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88" s="90" t="s">
        <v>8421</v>
      </c>
    </row>
    <row r="1589" spans="1:11">
      <c r="A1589" s="90" t="s">
        <v>6406</v>
      </c>
      <c r="B1589" s="90" t="s">
        <v>6407</v>
      </c>
      <c r="C1589" s="90" t="s">
        <v>10</v>
      </c>
      <c r="D1589" s="90" t="str">
        <f>VLOOKUP(Tabela1[[#This Row],[Origem]],'Perguntas 1 a 24'!$J$28:$K$34,2,FALSE)</f>
        <v>Centro-Oeste</v>
      </c>
      <c r="E1589" s="90" t="s">
        <v>12928</v>
      </c>
      <c r="F1589" s="91">
        <v>46397</v>
      </c>
      <c r="G1589" s="92">
        <v>34826</v>
      </c>
      <c r="H1589" s="90" t="s">
        <v>7</v>
      </c>
      <c r="I15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89" s="90" t="s">
        <v>6407</v>
      </c>
    </row>
    <row r="1590" spans="1:11">
      <c r="A1590" s="90" t="s">
        <v>8144</v>
      </c>
      <c r="B1590" s="90" t="s">
        <v>8145</v>
      </c>
      <c r="C1590" s="90" t="s">
        <v>10</v>
      </c>
      <c r="D1590" s="90" t="str">
        <f>VLOOKUP(Tabela1[[#This Row],[Origem]],'Perguntas 1 a 24'!$J$28:$K$34,2,FALSE)</f>
        <v>Centro-Oeste</v>
      </c>
      <c r="E1590" s="90" t="s">
        <v>12929</v>
      </c>
      <c r="F1590" s="91">
        <v>46398</v>
      </c>
      <c r="G1590" s="92">
        <v>68744</v>
      </c>
      <c r="H1590" s="90" t="s">
        <v>14</v>
      </c>
      <c r="I15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0" s="90" t="s">
        <v>8145</v>
      </c>
    </row>
    <row r="1591" spans="1:11">
      <c r="A1591" s="90" t="s">
        <v>4628</v>
      </c>
      <c r="B1591" s="90" t="s">
        <v>4629</v>
      </c>
      <c r="C1591" s="90" t="s">
        <v>6</v>
      </c>
      <c r="D1591" s="90" t="str">
        <f>VLOOKUP(Tabela1[[#This Row],[Origem]],'Perguntas 1 a 24'!$J$28:$K$34,2,FALSE)</f>
        <v>Nordeste</v>
      </c>
      <c r="E1591" s="90" t="s">
        <v>12930</v>
      </c>
      <c r="F1591" s="91">
        <v>46399</v>
      </c>
      <c r="G1591" s="92">
        <v>76130</v>
      </c>
      <c r="H1591" s="90" t="s">
        <v>14</v>
      </c>
      <c r="I15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1" s="90" t="s">
        <v>4629</v>
      </c>
    </row>
    <row r="1592" spans="1:11">
      <c r="A1592" s="90" t="s">
        <v>4502</v>
      </c>
      <c r="B1592" s="90" t="s">
        <v>4503</v>
      </c>
      <c r="C1592" s="90" t="s">
        <v>16</v>
      </c>
      <c r="D1592" s="90" t="str">
        <f>VLOOKUP(Tabela1[[#This Row],[Origem]],'Perguntas 1 a 24'!$J$28:$K$34,2,FALSE)</f>
        <v>Sudeste</v>
      </c>
      <c r="E1592" s="90" t="s">
        <v>12931</v>
      </c>
      <c r="F1592" s="91">
        <v>46401</v>
      </c>
      <c r="G1592" s="92">
        <v>93675</v>
      </c>
      <c r="H1592" s="90" t="s">
        <v>14</v>
      </c>
      <c r="I15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2" s="90" t="s">
        <v>4503</v>
      </c>
    </row>
    <row r="1593" spans="1:11">
      <c r="A1593" s="90" t="s">
        <v>4341</v>
      </c>
      <c r="B1593" s="90" t="s">
        <v>4342</v>
      </c>
      <c r="C1593" s="90" t="s">
        <v>15</v>
      </c>
      <c r="D1593" s="90" t="str">
        <f>VLOOKUP(Tabela1[[#This Row],[Origem]],'Perguntas 1 a 24'!$J$28:$K$34,2,FALSE)</f>
        <v>Sudeste</v>
      </c>
      <c r="E1593" s="90" t="s">
        <v>12932</v>
      </c>
      <c r="F1593" s="91">
        <v>46402</v>
      </c>
      <c r="G1593" s="92">
        <v>61661</v>
      </c>
      <c r="H1593" s="90" t="s">
        <v>14</v>
      </c>
      <c r="I15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3" s="90" t="s">
        <v>4342</v>
      </c>
    </row>
    <row r="1594" spans="1:11">
      <c r="A1594" s="90" t="s">
        <v>4048</v>
      </c>
      <c r="B1594" s="90" t="s">
        <v>4049</v>
      </c>
      <c r="C1594" s="90" t="s">
        <v>13</v>
      </c>
      <c r="D1594" s="90" t="str">
        <f>VLOOKUP(Tabela1[[#This Row],[Origem]],'Perguntas 1 a 24'!$J$28:$K$34,2,FALSE)</f>
        <v>Sudeste</v>
      </c>
      <c r="E1594" s="90" t="s">
        <v>12933</v>
      </c>
      <c r="F1594" s="91">
        <v>46403</v>
      </c>
      <c r="G1594" s="92">
        <v>78178</v>
      </c>
      <c r="H1594" s="90" t="s">
        <v>7</v>
      </c>
      <c r="I15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4" s="90" t="s">
        <v>4049</v>
      </c>
    </row>
    <row r="1595" spans="1:11">
      <c r="A1595" s="90" t="s">
        <v>5350</v>
      </c>
      <c r="B1595" s="90" t="s">
        <v>5351</v>
      </c>
      <c r="C1595" s="90" t="s">
        <v>6</v>
      </c>
      <c r="D1595" s="90" t="str">
        <f>VLOOKUP(Tabela1[[#This Row],[Origem]],'Perguntas 1 a 24'!$J$28:$K$34,2,FALSE)</f>
        <v>Nordeste</v>
      </c>
      <c r="E1595" s="90" t="s">
        <v>12934</v>
      </c>
      <c r="F1595" s="91">
        <v>46403</v>
      </c>
      <c r="G1595" s="92">
        <v>107539</v>
      </c>
      <c r="H1595" s="90" t="s">
        <v>14</v>
      </c>
      <c r="I15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5" s="90" t="s">
        <v>5351</v>
      </c>
    </row>
    <row r="1596" spans="1:11">
      <c r="A1596" s="90" t="s">
        <v>8953</v>
      </c>
      <c r="B1596" s="90" t="s">
        <v>8954</v>
      </c>
      <c r="C1596" s="90" t="s">
        <v>13</v>
      </c>
      <c r="D1596" s="90" t="str">
        <f>VLOOKUP(Tabela1[[#This Row],[Origem]],'Perguntas 1 a 24'!$J$28:$K$34,2,FALSE)</f>
        <v>Sudeste</v>
      </c>
      <c r="E1596" s="90" t="s">
        <v>12935</v>
      </c>
      <c r="F1596" s="91">
        <v>46405</v>
      </c>
      <c r="G1596" s="92">
        <v>41487</v>
      </c>
      <c r="H1596" s="90" t="s">
        <v>11</v>
      </c>
      <c r="I15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596" s="90" t="s">
        <v>8954</v>
      </c>
    </row>
    <row r="1597" spans="1:11">
      <c r="A1597" s="90" t="s">
        <v>10857</v>
      </c>
      <c r="B1597" s="90" t="s">
        <v>10858</v>
      </c>
      <c r="C1597" s="90" t="s">
        <v>6</v>
      </c>
      <c r="D1597" s="90" t="str">
        <f>VLOOKUP(Tabela1[[#This Row],[Origem]],'Perguntas 1 a 24'!$J$28:$K$34,2,FALSE)</f>
        <v>Nordeste</v>
      </c>
      <c r="E1597" s="90" t="s">
        <v>12936</v>
      </c>
      <c r="F1597" s="91">
        <v>46405</v>
      </c>
      <c r="G1597" s="92">
        <v>108659</v>
      </c>
      <c r="H1597" s="90" t="s">
        <v>9</v>
      </c>
      <c r="I15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7" s="90" t="s">
        <v>10858</v>
      </c>
    </row>
    <row r="1598" spans="1:11">
      <c r="A1598" s="90" t="s">
        <v>6792</v>
      </c>
      <c r="B1598" s="90" t="s">
        <v>6793</v>
      </c>
      <c r="C1598" s="90" t="s">
        <v>8</v>
      </c>
      <c r="D1598" s="90" t="str">
        <f>VLOOKUP(Tabela1[[#This Row],[Origem]],'Perguntas 1 a 24'!$J$28:$K$34,2,FALSE)</f>
        <v>Nordeste</v>
      </c>
      <c r="E1598" s="90" t="s">
        <v>12937</v>
      </c>
      <c r="F1598" s="91">
        <v>46407</v>
      </c>
      <c r="G1598" s="92">
        <v>100216</v>
      </c>
      <c r="H1598" s="90" t="s">
        <v>11</v>
      </c>
      <c r="I15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8" s="90" t="s">
        <v>6793</v>
      </c>
    </row>
    <row r="1599" spans="1:11">
      <c r="A1599" s="90" t="s">
        <v>8839</v>
      </c>
      <c r="B1599" s="90" t="s">
        <v>8840</v>
      </c>
      <c r="C1599" s="90" t="s">
        <v>10</v>
      </c>
      <c r="D1599" s="90" t="str">
        <f>VLOOKUP(Tabela1[[#This Row],[Origem]],'Perguntas 1 a 24'!$J$28:$K$34,2,FALSE)</f>
        <v>Centro-Oeste</v>
      </c>
      <c r="E1599" s="90" t="s">
        <v>12938</v>
      </c>
      <c r="F1599" s="91">
        <v>46407</v>
      </c>
      <c r="G1599" s="92">
        <v>115442</v>
      </c>
      <c r="H1599" s="90" t="s">
        <v>7</v>
      </c>
      <c r="I15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599" s="90" t="s">
        <v>8840</v>
      </c>
    </row>
    <row r="1600" spans="1:11">
      <c r="A1600" s="90" t="s">
        <v>10853</v>
      </c>
      <c r="B1600" s="90" t="s">
        <v>10854</v>
      </c>
      <c r="C1600" s="90" t="s">
        <v>15</v>
      </c>
      <c r="D1600" s="90" t="str">
        <f>VLOOKUP(Tabela1[[#This Row],[Origem]],'Perguntas 1 a 24'!$J$28:$K$34,2,FALSE)</f>
        <v>Sudeste</v>
      </c>
      <c r="E1600" s="90" t="s">
        <v>12939</v>
      </c>
      <c r="F1600" s="91">
        <v>46407</v>
      </c>
      <c r="G1600" s="92">
        <v>34185</v>
      </c>
      <c r="H1600" s="90" t="s">
        <v>14</v>
      </c>
      <c r="I16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00" s="90" t="s">
        <v>10854</v>
      </c>
    </row>
    <row r="1601" spans="1:11">
      <c r="A1601" s="90" t="s">
        <v>4746</v>
      </c>
      <c r="B1601" s="90" t="s">
        <v>4747</v>
      </c>
      <c r="C1601" s="90" t="s">
        <v>13</v>
      </c>
      <c r="D1601" s="90" t="str">
        <f>VLOOKUP(Tabela1[[#This Row],[Origem]],'Perguntas 1 a 24'!$J$28:$K$34,2,FALSE)</f>
        <v>Sudeste</v>
      </c>
      <c r="E1601" s="90" t="s">
        <v>12940</v>
      </c>
      <c r="F1601" s="91">
        <v>46408</v>
      </c>
      <c r="G1601" s="92">
        <v>37589</v>
      </c>
      <c r="H1601" s="90" t="s">
        <v>9</v>
      </c>
      <c r="I16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01" s="90" t="s">
        <v>4747</v>
      </c>
    </row>
    <row r="1602" spans="1:11">
      <c r="A1602" s="90" t="s">
        <v>10635</v>
      </c>
      <c r="B1602" s="90" t="s">
        <v>10636</v>
      </c>
      <c r="C1602" s="90" t="s">
        <v>12</v>
      </c>
      <c r="D1602" s="90" t="str">
        <f>VLOOKUP(Tabela1[[#This Row],[Origem]],'Perguntas 1 a 24'!$J$28:$K$34,2,FALSE)</f>
        <v>Sudeste</v>
      </c>
      <c r="E1602" s="90" t="s">
        <v>12941</v>
      </c>
      <c r="F1602" s="91">
        <v>46408</v>
      </c>
      <c r="G1602" s="92">
        <v>67950</v>
      </c>
      <c r="H1602" s="90" t="s">
        <v>7</v>
      </c>
      <c r="I16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02" s="90" t="s">
        <v>10636</v>
      </c>
    </row>
    <row r="1603" spans="1:11">
      <c r="A1603" s="90" t="s">
        <v>10978</v>
      </c>
      <c r="B1603" s="90" t="s">
        <v>10979</v>
      </c>
      <c r="C1603" s="90" t="s">
        <v>6</v>
      </c>
      <c r="D1603" s="90" t="str">
        <f>VLOOKUP(Tabela1[[#This Row],[Origem]],'Perguntas 1 a 24'!$J$28:$K$34,2,FALSE)</f>
        <v>Nordeste</v>
      </c>
      <c r="E1603" s="90" t="s">
        <v>12942</v>
      </c>
      <c r="F1603" s="91">
        <v>46408</v>
      </c>
      <c r="G1603" s="92">
        <v>108683</v>
      </c>
      <c r="H1603" s="90" t="s">
        <v>7</v>
      </c>
      <c r="I16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03" s="90" t="s">
        <v>10979</v>
      </c>
    </row>
    <row r="1604" spans="1:11">
      <c r="A1604" s="90" t="s">
        <v>6194</v>
      </c>
      <c r="B1604" s="90" t="s">
        <v>6195</v>
      </c>
      <c r="C1604" s="90" t="s">
        <v>12</v>
      </c>
      <c r="D1604" s="90" t="str">
        <f>VLOOKUP(Tabela1[[#This Row],[Origem]],'Perguntas 1 a 24'!$J$28:$K$34,2,FALSE)</f>
        <v>Sudeste</v>
      </c>
      <c r="E1604" s="90" t="s">
        <v>12943</v>
      </c>
      <c r="F1604" s="91">
        <v>46409</v>
      </c>
      <c r="G1604" s="92">
        <v>49079</v>
      </c>
      <c r="H1604" s="90" t="s">
        <v>7</v>
      </c>
      <c r="I16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04" s="90" t="s">
        <v>6195</v>
      </c>
    </row>
    <row r="1605" spans="1:11">
      <c r="A1605" s="90" t="s">
        <v>10667</v>
      </c>
      <c r="B1605" s="90" t="s">
        <v>10668</v>
      </c>
      <c r="C1605" s="90" t="s">
        <v>12</v>
      </c>
      <c r="D1605" s="90" t="str">
        <f>VLOOKUP(Tabela1[[#This Row],[Origem]],'Perguntas 1 a 24'!$J$28:$K$34,2,FALSE)</f>
        <v>Sudeste</v>
      </c>
      <c r="E1605" s="90" t="s">
        <v>12944</v>
      </c>
      <c r="F1605" s="91">
        <v>46409</v>
      </c>
      <c r="G1605" s="92">
        <v>29454</v>
      </c>
      <c r="H1605" s="90" t="s">
        <v>7</v>
      </c>
      <c r="I16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05" s="90" t="s">
        <v>10668</v>
      </c>
    </row>
    <row r="1606" spans="1:11">
      <c r="A1606" s="90" t="s">
        <v>4026</v>
      </c>
      <c r="B1606" s="90" t="s">
        <v>4027</v>
      </c>
      <c r="C1606" s="90" t="s">
        <v>15</v>
      </c>
      <c r="D1606" s="90" t="str">
        <f>VLOOKUP(Tabela1[[#This Row],[Origem]],'Perguntas 1 a 24'!$J$28:$K$34,2,FALSE)</f>
        <v>Sudeste</v>
      </c>
      <c r="E1606" s="90" t="s">
        <v>12945</v>
      </c>
      <c r="F1606" s="91">
        <v>46410</v>
      </c>
      <c r="G1606" s="92">
        <v>22330</v>
      </c>
      <c r="H1606" s="90" t="s">
        <v>9</v>
      </c>
      <c r="I16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06" s="90" t="s">
        <v>4027</v>
      </c>
    </row>
    <row r="1607" spans="1:11">
      <c r="A1607" s="90" t="s">
        <v>4680</v>
      </c>
      <c r="B1607" s="90" t="s">
        <v>4681</v>
      </c>
      <c r="C1607" s="90" t="s">
        <v>16</v>
      </c>
      <c r="D1607" s="90" t="str">
        <f>VLOOKUP(Tabela1[[#This Row],[Origem]],'Perguntas 1 a 24'!$J$28:$K$34,2,FALSE)</f>
        <v>Sudeste</v>
      </c>
      <c r="E1607" s="90" t="s">
        <v>12946</v>
      </c>
      <c r="F1607" s="91">
        <v>46411</v>
      </c>
      <c r="G1607" s="92">
        <v>113555</v>
      </c>
      <c r="H1607" s="90" t="s">
        <v>9</v>
      </c>
      <c r="I16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07" s="90" t="s">
        <v>4681</v>
      </c>
    </row>
    <row r="1608" spans="1:11">
      <c r="A1608" s="90" t="s">
        <v>9113</v>
      </c>
      <c r="B1608" s="90" t="s">
        <v>9114</v>
      </c>
      <c r="C1608" s="90" t="s">
        <v>16</v>
      </c>
      <c r="D1608" s="90" t="str">
        <f>VLOOKUP(Tabela1[[#This Row],[Origem]],'Perguntas 1 a 24'!$J$28:$K$34,2,FALSE)</f>
        <v>Sudeste</v>
      </c>
      <c r="E1608" s="90" t="s">
        <v>12947</v>
      </c>
      <c r="F1608" s="91">
        <v>46411</v>
      </c>
      <c r="G1608" s="92">
        <v>58763</v>
      </c>
      <c r="H1608" s="90" t="s">
        <v>7</v>
      </c>
      <c r="I16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08" s="90" t="s">
        <v>9114</v>
      </c>
    </row>
    <row r="1609" spans="1:11">
      <c r="A1609" s="90" t="s">
        <v>9421</v>
      </c>
      <c r="B1609" s="90" t="s">
        <v>9422</v>
      </c>
      <c r="C1609" s="90" t="s">
        <v>15</v>
      </c>
      <c r="D1609" s="90" t="str">
        <f>VLOOKUP(Tabela1[[#This Row],[Origem]],'Perguntas 1 a 24'!$J$28:$K$34,2,FALSE)</f>
        <v>Sudeste</v>
      </c>
      <c r="E1609" s="90" t="s">
        <v>12948</v>
      </c>
      <c r="F1609" s="91">
        <v>46411</v>
      </c>
      <c r="G1609" s="92">
        <v>53030</v>
      </c>
      <c r="H1609" s="90" t="s">
        <v>14</v>
      </c>
      <c r="I16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09" s="90" t="s">
        <v>9422</v>
      </c>
    </row>
    <row r="1610" spans="1:11">
      <c r="A1610" s="90" t="s">
        <v>7272</v>
      </c>
      <c r="B1610" s="90" t="s">
        <v>7273</v>
      </c>
      <c r="C1610" s="90" t="s">
        <v>15</v>
      </c>
      <c r="D1610" s="90" t="str">
        <f>VLOOKUP(Tabela1[[#This Row],[Origem]],'Perguntas 1 a 24'!$J$28:$K$34,2,FALSE)</f>
        <v>Sudeste</v>
      </c>
      <c r="E1610" s="90" t="s">
        <v>12949</v>
      </c>
      <c r="F1610" s="91">
        <v>46412</v>
      </c>
      <c r="G1610" s="92">
        <v>30412</v>
      </c>
      <c r="H1610" s="90" t="s">
        <v>11</v>
      </c>
      <c r="I16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10" s="90" t="s">
        <v>7273</v>
      </c>
    </row>
    <row r="1611" spans="1:11">
      <c r="A1611" s="90" t="s">
        <v>4588</v>
      </c>
      <c r="B1611" s="90" t="s">
        <v>4589</v>
      </c>
      <c r="C1611" s="90" t="s">
        <v>16</v>
      </c>
      <c r="D1611" s="90" t="str">
        <f>VLOOKUP(Tabela1[[#This Row],[Origem]],'Perguntas 1 a 24'!$J$28:$K$34,2,FALSE)</f>
        <v>Sudeste</v>
      </c>
      <c r="E1611" s="90" t="s">
        <v>12950</v>
      </c>
      <c r="F1611" s="91">
        <v>46413</v>
      </c>
      <c r="G1611" s="92">
        <v>113412</v>
      </c>
      <c r="H1611" s="90" t="s">
        <v>11</v>
      </c>
      <c r="I16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11" s="90" t="s">
        <v>4589</v>
      </c>
    </row>
    <row r="1612" spans="1:11">
      <c r="A1612" s="90" t="s">
        <v>5044</v>
      </c>
      <c r="B1612" s="90" t="s">
        <v>5045</v>
      </c>
      <c r="C1612" s="90" t="s">
        <v>10</v>
      </c>
      <c r="D1612" s="90" t="str">
        <f>VLOOKUP(Tabela1[[#This Row],[Origem]],'Perguntas 1 a 24'!$J$28:$K$34,2,FALSE)</f>
        <v>Centro-Oeste</v>
      </c>
      <c r="E1612" s="90" t="s">
        <v>12951</v>
      </c>
      <c r="F1612" s="91">
        <v>46414</v>
      </c>
      <c r="G1612" s="92">
        <v>92258</v>
      </c>
      <c r="H1612" s="90" t="s">
        <v>11</v>
      </c>
      <c r="I16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12" s="90" t="s">
        <v>5045</v>
      </c>
    </row>
    <row r="1613" spans="1:11">
      <c r="A1613" s="90" t="s">
        <v>6494</v>
      </c>
      <c r="B1613" s="90" t="s">
        <v>6495</v>
      </c>
      <c r="C1613" s="90" t="s">
        <v>6</v>
      </c>
      <c r="D1613" s="90" t="str">
        <f>VLOOKUP(Tabela1[[#This Row],[Origem]],'Perguntas 1 a 24'!$J$28:$K$34,2,FALSE)</f>
        <v>Nordeste</v>
      </c>
      <c r="E1613" s="90" t="s">
        <v>12952</v>
      </c>
      <c r="F1613" s="91">
        <v>46414</v>
      </c>
      <c r="G1613" s="92">
        <v>100161</v>
      </c>
      <c r="H1613" s="90" t="s">
        <v>9</v>
      </c>
      <c r="I16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13" s="90" t="s">
        <v>6495</v>
      </c>
    </row>
    <row r="1614" spans="1:11">
      <c r="A1614" s="90" t="s">
        <v>6872</v>
      </c>
      <c r="B1614" s="90" t="s">
        <v>6873</v>
      </c>
      <c r="C1614" s="90" t="s">
        <v>8</v>
      </c>
      <c r="D1614" s="90" t="str">
        <f>VLOOKUP(Tabela1[[#This Row],[Origem]],'Perguntas 1 a 24'!$J$28:$K$34,2,FALSE)</f>
        <v>Nordeste</v>
      </c>
      <c r="E1614" s="90" t="s">
        <v>12953</v>
      </c>
      <c r="F1614" s="91">
        <v>46414</v>
      </c>
      <c r="G1614" s="92">
        <v>48745</v>
      </c>
      <c r="H1614" s="90" t="s">
        <v>9</v>
      </c>
      <c r="I16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14" s="90" t="s">
        <v>6873</v>
      </c>
    </row>
    <row r="1615" spans="1:11">
      <c r="A1615" s="90" t="s">
        <v>3683</v>
      </c>
      <c r="B1615" s="90" t="s">
        <v>3684</v>
      </c>
      <c r="C1615" s="90" t="s">
        <v>8</v>
      </c>
      <c r="D1615" s="90" t="str">
        <f>VLOOKUP(Tabela1[[#This Row],[Origem]],'Perguntas 1 a 24'!$J$28:$K$34,2,FALSE)</f>
        <v>Nordeste</v>
      </c>
      <c r="E1615" s="90" t="s">
        <v>12954</v>
      </c>
      <c r="F1615" s="91">
        <v>46415</v>
      </c>
      <c r="G1615" s="92">
        <v>69179</v>
      </c>
      <c r="H1615" s="90" t="s">
        <v>7</v>
      </c>
      <c r="I16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15" s="90" t="s">
        <v>3684</v>
      </c>
    </row>
    <row r="1616" spans="1:11">
      <c r="A1616" s="90" t="s">
        <v>4128</v>
      </c>
      <c r="B1616" s="90" t="s">
        <v>4129</v>
      </c>
      <c r="C1616" s="90" t="s">
        <v>12</v>
      </c>
      <c r="D1616" s="90" t="str">
        <f>VLOOKUP(Tabela1[[#This Row],[Origem]],'Perguntas 1 a 24'!$J$28:$K$34,2,FALSE)</f>
        <v>Sudeste</v>
      </c>
      <c r="E1616" s="90" t="s">
        <v>12955</v>
      </c>
      <c r="F1616" s="91">
        <v>46415</v>
      </c>
      <c r="G1616" s="92">
        <v>70059</v>
      </c>
      <c r="H1616" s="90" t="s">
        <v>11</v>
      </c>
      <c r="I16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16" s="90" t="s">
        <v>4129</v>
      </c>
    </row>
    <row r="1617" spans="1:11">
      <c r="A1617" s="90" t="s">
        <v>7480</v>
      </c>
      <c r="B1617" s="90" t="s">
        <v>7481</v>
      </c>
      <c r="C1617" s="90" t="s">
        <v>8</v>
      </c>
      <c r="D1617" s="90" t="str">
        <f>VLOOKUP(Tabela1[[#This Row],[Origem]],'Perguntas 1 a 24'!$J$28:$K$34,2,FALSE)</f>
        <v>Nordeste</v>
      </c>
      <c r="E1617" s="90" t="s">
        <v>12956</v>
      </c>
      <c r="F1617" s="91">
        <v>46416</v>
      </c>
      <c r="G1617" s="92">
        <v>53823</v>
      </c>
      <c r="H1617" s="90" t="s">
        <v>14</v>
      </c>
      <c r="I16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17" s="90" t="s">
        <v>7481</v>
      </c>
    </row>
    <row r="1618" spans="1:11">
      <c r="A1618" s="90" t="s">
        <v>7690</v>
      </c>
      <c r="B1618" s="90" t="s">
        <v>7691</v>
      </c>
      <c r="C1618" s="90" t="s">
        <v>15</v>
      </c>
      <c r="D1618" s="90" t="str">
        <f>VLOOKUP(Tabela1[[#This Row],[Origem]],'Perguntas 1 a 24'!$J$28:$K$34,2,FALSE)</f>
        <v>Sudeste</v>
      </c>
      <c r="E1618" s="90" t="s">
        <v>12957</v>
      </c>
      <c r="F1618" s="91">
        <v>46417</v>
      </c>
      <c r="G1618" s="92">
        <v>110408</v>
      </c>
      <c r="H1618" s="90" t="s">
        <v>14</v>
      </c>
      <c r="I16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18" s="90" t="s">
        <v>7691</v>
      </c>
    </row>
    <row r="1619" spans="1:11">
      <c r="A1619" s="90" t="s">
        <v>9315</v>
      </c>
      <c r="B1619" s="90" t="s">
        <v>9316</v>
      </c>
      <c r="C1619" s="90" t="s">
        <v>13</v>
      </c>
      <c r="D1619" s="90" t="str">
        <f>VLOOKUP(Tabela1[[#This Row],[Origem]],'Perguntas 1 a 24'!$J$28:$K$34,2,FALSE)</f>
        <v>Sudeste</v>
      </c>
      <c r="E1619" s="90" t="s">
        <v>12958</v>
      </c>
      <c r="F1619" s="91">
        <v>46417</v>
      </c>
      <c r="G1619" s="92">
        <v>80734</v>
      </c>
      <c r="H1619" s="90" t="s">
        <v>9</v>
      </c>
      <c r="I16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19" s="90" t="s">
        <v>9316</v>
      </c>
    </row>
    <row r="1620" spans="1:11">
      <c r="A1620" s="90" t="s">
        <v>3663</v>
      </c>
      <c r="B1620" s="90" t="s">
        <v>3701</v>
      </c>
      <c r="C1620" s="90" t="s">
        <v>12</v>
      </c>
      <c r="D1620" s="90" t="str">
        <f>VLOOKUP(Tabela1[[#This Row],[Origem]],'Perguntas 1 a 24'!$J$28:$K$34,2,FALSE)</f>
        <v>Sudeste</v>
      </c>
      <c r="E1620" s="90" t="s">
        <v>12959</v>
      </c>
      <c r="F1620" s="91">
        <v>46418</v>
      </c>
      <c r="G1620" s="92">
        <v>24900</v>
      </c>
      <c r="H1620" s="90" t="s">
        <v>14</v>
      </c>
      <c r="I16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20" s="90" t="s">
        <v>3701</v>
      </c>
    </row>
    <row r="1621" spans="1:11">
      <c r="A1621" s="90" t="s">
        <v>8388</v>
      </c>
      <c r="B1621" s="90" t="s">
        <v>8389</v>
      </c>
      <c r="C1621" s="90" t="s">
        <v>12</v>
      </c>
      <c r="D1621" s="90" t="str">
        <f>VLOOKUP(Tabela1[[#This Row],[Origem]],'Perguntas 1 a 24'!$J$28:$K$34,2,FALSE)</f>
        <v>Sudeste</v>
      </c>
      <c r="E1621" s="90" t="s">
        <v>12960</v>
      </c>
      <c r="F1621" s="91">
        <v>46419</v>
      </c>
      <c r="G1621" s="92">
        <v>100077</v>
      </c>
      <c r="H1621" s="90" t="s">
        <v>7</v>
      </c>
      <c r="I16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21" s="90" t="s">
        <v>8389</v>
      </c>
    </row>
    <row r="1622" spans="1:11">
      <c r="A1622" s="90" t="s">
        <v>9185</v>
      </c>
      <c r="B1622" s="90" t="s">
        <v>9186</v>
      </c>
      <c r="C1622" s="90" t="s">
        <v>16</v>
      </c>
      <c r="D1622" s="90" t="str">
        <f>VLOOKUP(Tabela1[[#This Row],[Origem]],'Perguntas 1 a 24'!$J$28:$K$34,2,FALSE)</f>
        <v>Sudeste</v>
      </c>
      <c r="E1622" s="90" t="s">
        <v>12961</v>
      </c>
      <c r="F1622" s="91">
        <v>46420</v>
      </c>
      <c r="G1622" s="92">
        <v>85511</v>
      </c>
      <c r="H1622" s="90" t="s">
        <v>14</v>
      </c>
      <c r="I16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22" s="90" t="s">
        <v>9186</v>
      </c>
    </row>
    <row r="1623" spans="1:11">
      <c r="A1623" s="90" t="s">
        <v>7436</v>
      </c>
      <c r="B1623" s="90" t="s">
        <v>7437</v>
      </c>
      <c r="C1623" s="90" t="s">
        <v>12</v>
      </c>
      <c r="D1623" s="90" t="str">
        <f>VLOOKUP(Tabela1[[#This Row],[Origem]],'Perguntas 1 a 24'!$J$28:$K$34,2,FALSE)</f>
        <v>Sudeste</v>
      </c>
      <c r="E1623" s="90" t="s">
        <v>12962</v>
      </c>
      <c r="F1623" s="91">
        <v>46421</v>
      </c>
      <c r="G1623" s="92">
        <v>23465</v>
      </c>
      <c r="H1623" s="90" t="s">
        <v>14</v>
      </c>
      <c r="I16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23" s="90" t="s">
        <v>7437</v>
      </c>
    </row>
    <row r="1624" spans="1:11">
      <c r="A1624" s="90" t="s">
        <v>4170</v>
      </c>
      <c r="B1624" s="90" t="s">
        <v>4171</v>
      </c>
      <c r="C1624" s="90" t="s">
        <v>8</v>
      </c>
      <c r="D1624" s="90" t="str">
        <f>VLOOKUP(Tabela1[[#This Row],[Origem]],'Perguntas 1 a 24'!$J$28:$K$34,2,FALSE)</f>
        <v>Nordeste</v>
      </c>
      <c r="E1624" s="90" t="s">
        <v>12963</v>
      </c>
      <c r="F1624" s="91">
        <v>46422</v>
      </c>
      <c r="G1624" s="92">
        <v>109392</v>
      </c>
      <c r="H1624" s="90" t="s">
        <v>9</v>
      </c>
      <c r="I16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24" s="90" t="s">
        <v>4171</v>
      </c>
    </row>
    <row r="1625" spans="1:11">
      <c r="A1625" s="90" t="s">
        <v>5204</v>
      </c>
      <c r="B1625" s="90" t="s">
        <v>5205</v>
      </c>
      <c r="C1625" s="90" t="s">
        <v>12</v>
      </c>
      <c r="D1625" s="90" t="str">
        <f>VLOOKUP(Tabela1[[#This Row],[Origem]],'Perguntas 1 a 24'!$J$28:$K$34,2,FALSE)</f>
        <v>Sudeste</v>
      </c>
      <c r="E1625" s="90" t="s">
        <v>12964</v>
      </c>
      <c r="F1625" s="91">
        <v>46422</v>
      </c>
      <c r="G1625" s="92">
        <v>95539</v>
      </c>
      <c r="H1625" s="90" t="s">
        <v>14</v>
      </c>
      <c r="I16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25" s="90" t="s">
        <v>5205</v>
      </c>
    </row>
    <row r="1626" spans="1:11">
      <c r="A1626" s="90" t="s">
        <v>7770</v>
      </c>
      <c r="B1626" s="90" t="s">
        <v>7771</v>
      </c>
      <c r="C1626" s="90" t="s">
        <v>15</v>
      </c>
      <c r="D1626" s="90" t="str">
        <f>VLOOKUP(Tabela1[[#This Row],[Origem]],'Perguntas 1 a 24'!$J$28:$K$34,2,FALSE)</f>
        <v>Sudeste</v>
      </c>
      <c r="E1626" s="90" t="s">
        <v>12965</v>
      </c>
      <c r="F1626" s="91">
        <v>46423</v>
      </c>
      <c r="G1626" s="92">
        <v>111097</v>
      </c>
      <c r="H1626" s="90" t="s">
        <v>14</v>
      </c>
      <c r="I16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26" s="90" t="s">
        <v>7771</v>
      </c>
    </row>
    <row r="1627" spans="1:11">
      <c r="A1627" s="90" t="s">
        <v>10813</v>
      </c>
      <c r="B1627" s="90" t="s">
        <v>10814</v>
      </c>
      <c r="C1627" s="90" t="s">
        <v>12</v>
      </c>
      <c r="D1627" s="90" t="str">
        <f>VLOOKUP(Tabela1[[#This Row],[Origem]],'Perguntas 1 a 24'!$J$28:$K$34,2,FALSE)</f>
        <v>Sudeste</v>
      </c>
      <c r="E1627" s="90" t="s">
        <v>12966</v>
      </c>
      <c r="F1627" s="91">
        <v>46423</v>
      </c>
      <c r="G1627" s="92">
        <v>53993</v>
      </c>
      <c r="H1627" s="90" t="s">
        <v>7</v>
      </c>
      <c r="I16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27" s="90" t="s">
        <v>10814</v>
      </c>
    </row>
    <row r="1628" spans="1:11">
      <c r="A1628" s="90" t="s">
        <v>4018</v>
      </c>
      <c r="B1628" s="90" t="s">
        <v>4019</v>
      </c>
      <c r="C1628" s="90" t="s">
        <v>12</v>
      </c>
      <c r="D1628" s="90" t="str">
        <f>VLOOKUP(Tabela1[[#This Row],[Origem]],'Perguntas 1 a 24'!$J$28:$K$34,2,FALSE)</f>
        <v>Sudeste</v>
      </c>
      <c r="E1628" s="90" t="s">
        <v>12967</v>
      </c>
      <c r="F1628" s="91">
        <v>46424</v>
      </c>
      <c r="G1628" s="92">
        <v>105243</v>
      </c>
      <c r="H1628" s="90" t="s">
        <v>7</v>
      </c>
      <c r="I16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28" s="90" t="s">
        <v>4019</v>
      </c>
    </row>
    <row r="1629" spans="1:11">
      <c r="A1629" s="90" t="s">
        <v>6108</v>
      </c>
      <c r="B1629" s="90" t="s">
        <v>6109</v>
      </c>
      <c r="C1629" s="90" t="s">
        <v>6</v>
      </c>
      <c r="D1629" s="90" t="str">
        <f>VLOOKUP(Tabela1[[#This Row],[Origem]],'Perguntas 1 a 24'!$J$28:$K$34,2,FALSE)</f>
        <v>Nordeste</v>
      </c>
      <c r="E1629" s="90" t="s">
        <v>12968</v>
      </c>
      <c r="F1629" s="91">
        <v>46425</v>
      </c>
      <c r="G1629" s="92">
        <v>68585</v>
      </c>
      <c r="H1629" s="90" t="s">
        <v>7</v>
      </c>
      <c r="I16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29" s="90" t="s">
        <v>6109</v>
      </c>
    </row>
    <row r="1630" spans="1:11">
      <c r="A1630" s="90" t="s">
        <v>9063</v>
      </c>
      <c r="B1630" s="90" t="s">
        <v>9064</v>
      </c>
      <c r="C1630" s="90" t="s">
        <v>12</v>
      </c>
      <c r="D1630" s="90" t="str">
        <f>VLOOKUP(Tabela1[[#This Row],[Origem]],'Perguntas 1 a 24'!$J$28:$K$34,2,FALSE)</f>
        <v>Sudeste</v>
      </c>
      <c r="E1630" s="90" t="s">
        <v>12969</v>
      </c>
      <c r="F1630" s="91">
        <v>46427</v>
      </c>
      <c r="G1630" s="92">
        <v>114458</v>
      </c>
      <c r="H1630" s="90" t="s">
        <v>9</v>
      </c>
      <c r="I16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30" s="90" t="s">
        <v>9064</v>
      </c>
    </row>
    <row r="1631" spans="1:11">
      <c r="A1631" s="90" t="s">
        <v>10497</v>
      </c>
      <c r="B1631" s="90" t="s">
        <v>10498</v>
      </c>
      <c r="C1631" s="90" t="s">
        <v>16</v>
      </c>
      <c r="D1631" s="90" t="str">
        <f>VLOOKUP(Tabela1[[#This Row],[Origem]],'Perguntas 1 a 24'!$J$28:$K$34,2,FALSE)</f>
        <v>Sudeste</v>
      </c>
      <c r="E1631" s="90" t="s">
        <v>12970</v>
      </c>
      <c r="F1631" s="91">
        <v>46427</v>
      </c>
      <c r="G1631" s="92">
        <v>111553</v>
      </c>
      <c r="H1631" s="90" t="s">
        <v>11</v>
      </c>
      <c r="I16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31" s="90" t="s">
        <v>10498</v>
      </c>
    </row>
    <row r="1632" spans="1:11">
      <c r="A1632" s="90" t="s">
        <v>5574</v>
      </c>
      <c r="B1632" s="90" t="s">
        <v>5575</v>
      </c>
      <c r="C1632" s="90" t="s">
        <v>6</v>
      </c>
      <c r="D1632" s="90" t="str">
        <f>VLOOKUP(Tabela1[[#This Row],[Origem]],'Perguntas 1 a 24'!$J$28:$K$34,2,FALSE)</f>
        <v>Nordeste</v>
      </c>
      <c r="E1632" s="90" t="s">
        <v>12971</v>
      </c>
      <c r="F1632" s="91">
        <v>46428</v>
      </c>
      <c r="G1632" s="92">
        <v>21741</v>
      </c>
      <c r="H1632" s="90" t="s">
        <v>7</v>
      </c>
      <c r="I16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32" s="90" t="s">
        <v>5575</v>
      </c>
    </row>
    <row r="1633" spans="1:11">
      <c r="A1633" s="90" t="s">
        <v>6928</v>
      </c>
      <c r="B1633" s="90" t="s">
        <v>6929</v>
      </c>
      <c r="C1633" s="90" t="s">
        <v>12</v>
      </c>
      <c r="D1633" s="90" t="str">
        <f>VLOOKUP(Tabela1[[#This Row],[Origem]],'Perguntas 1 a 24'!$J$28:$K$34,2,FALSE)</f>
        <v>Sudeste</v>
      </c>
      <c r="E1633" s="90" t="s">
        <v>12972</v>
      </c>
      <c r="F1633" s="91">
        <v>46428</v>
      </c>
      <c r="G1633" s="92">
        <v>78364</v>
      </c>
      <c r="H1633" s="90" t="s">
        <v>7</v>
      </c>
      <c r="I16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33" s="90" t="s">
        <v>6929</v>
      </c>
    </row>
    <row r="1634" spans="1:11">
      <c r="A1634" s="90" t="s">
        <v>8601</v>
      </c>
      <c r="B1634" s="90" t="s">
        <v>8602</v>
      </c>
      <c r="C1634" s="90" t="s">
        <v>12</v>
      </c>
      <c r="D1634" s="90" t="str">
        <f>VLOOKUP(Tabela1[[#This Row],[Origem]],'Perguntas 1 a 24'!$J$28:$K$34,2,FALSE)</f>
        <v>Sudeste</v>
      </c>
      <c r="E1634" s="90" t="s">
        <v>12973</v>
      </c>
      <c r="F1634" s="91">
        <v>46428</v>
      </c>
      <c r="G1634" s="92">
        <v>38527</v>
      </c>
      <c r="H1634" s="90" t="s">
        <v>7</v>
      </c>
      <c r="I16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34" s="90" t="s">
        <v>8602</v>
      </c>
    </row>
    <row r="1635" spans="1:11">
      <c r="A1635" s="90" t="s">
        <v>10645</v>
      </c>
      <c r="B1635" s="90" t="s">
        <v>10646</v>
      </c>
      <c r="C1635" s="90" t="s">
        <v>15</v>
      </c>
      <c r="D1635" s="90" t="str">
        <f>VLOOKUP(Tabela1[[#This Row],[Origem]],'Perguntas 1 a 24'!$J$28:$K$34,2,FALSE)</f>
        <v>Sudeste</v>
      </c>
      <c r="E1635" s="90" t="s">
        <v>12974</v>
      </c>
      <c r="F1635" s="91">
        <v>46429</v>
      </c>
      <c r="G1635" s="92">
        <v>77850</v>
      </c>
      <c r="H1635" s="90" t="s">
        <v>11</v>
      </c>
      <c r="I16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35" s="90" t="s">
        <v>10646</v>
      </c>
    </row>
    <row r="1636" spans="1:11">
      <c r="A1636" s="90" t="s">
        <v>11129</v>
      </c>
      <c r="B1636" s="90" t="s">
        <v>11130</v>
      </c>
      <c r="C1636" s="90" t="s">
        <v>12</v>
      </c>
      <c r="D1636" s="90" t="str">
        <f>VLOOKUP(Tabela1[[#This Row],[Origem]],'Perguntas 1 a 24'!$J$28:$K$34,2,FALSE)</f>
        <v>Sudeste</v>
      </c>
      <c r="E1636" s="90" t="s">
        <v>12975</v>
      </c>
      <c r="F1636" s="91">
        <v>46429</v>
      </c>
      <c r="G1636" s="92">
        <v>112238</v>
      </c>
      <c r="H1636" s="90" t="s">
        <v>7</v>
      </c>
      <c r="I16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36" s="90" t="s">
        <v>11130</v>
      </c>
    </row>
    <row r="1637" spans="1:11">
      <c r="A1637" s="90" t="s">
        <v>6650</v>
      </c>
      <c r="B1637" s="90" t="s">
        <v>6651</v>
      </c>
      <c r="C1637" s="90" t="s">
        <v>13</v>
      </c>
      <c r="D1637" s="90" t="str">
        <f>VLOOKUP(Tabela1[[#This Row],[Origem]],'Perguntas 1 a 24'!$J$28:$K$34,2,FALSE)</f>
        <v>Sudeste</v>
      </c>
      <c r="E1637" s="90" t="s">
        <v>12976</v>
      </c>
      <c r="F1637" s="91">
        <v>46430</v>
      </c>
      <c r="G1637" s="92">
        <v>30232</v>
      </c>
      <c r="H1637" s="90" t="s">
        <v>11</v>
      </c>
      <c r="I16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37" s="90" t="s">
        <v>6651</v>
      </c>
    </row>
    <row r="1638" spans="1:11">
      <c r="A1638" s="90" t="s">
        <v>7028</v>
      </c>
      <c r="B1638" s="90" t="s">
        <v>7029</v>
      </c>
      <c r="C1638" s="90" t="s">
        <v>10</v>
      </c>
      <c r="D1638" s="90" t="str">
        <f>VLOOKUP(Tabela1[[#This Row],[Origem]],'Perguntas 1 a 24'!$J$28:$K$34,2,FALSE)</f>
        <v>Centro-Oeste</v>
      </c>
      <c r="E1638" s="90" t="s">
        <v>12977</v>
      </c>
      <c r="F1638" s="91">
        <v>46431</v>
      </c>
      <c r="G1638" s="92">
        <v>33733</v>
      </c>
      <c r="H1638" s="90" t="s">
        <v>14</v>
      </c>
      <c r="I16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38" s="90" t="s">
        <v>7029</v>
      </c>
    </row>
    <row r="1639" spans="1:11">
      <c r="A1639" s="90" t="s">
        <v>8575</v>
      </c>
      <c r="B1639" s="90" t="s">
        <v>8576</v>
      </c>
      <c r="C1639" s="90" t="s">
        <v>16</v>
      </c>
      <c r="D1639" s="90" t="str">
        <f>VLOOKUP(Tabela1[[#This Row],[Origem]],'Perguntas 1 a 24'!$J$28:$K$34,2,FALSE)</f>
        <v>Sudeste</v>
      </c>
      <c r="E1639" s="90" t="s">
        <v>12978</v>
      </c>
      <c r="F1639" s="91">
        <v>46431</v>
      </c>
      <c r="G1639" s="92">
        <v>91490</v>
      </c>
      <c r="H1639" s="90" t="s">
        <v>9</v>
      </c>
      <c r="I16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39" s="90" t="s">
        <v>8576</v>
      </c>
    </row>
    <row r="1640" spans="1:11">
      <c r="A1640" s="90" t="s">
        <v>8743</v>
      </c>
      <c r="B1640" s="90" t="s">
        <v>8744</v>
      </c>
      <c r="C1640" s="90" t="s">
        <v>12</v>
      </c>
      <c r="D1640" s="90" t="str">
        <f>VLOOKUP(Tabela1[[#This Row],[Origem]],'Perguntas 1 a 24'!$J$28:$K$34,2,FALSE)</f>
        <v>Sudeste</v>
      </c>
      <c r="E1640" s="90" t="s">
        <v>12979</v>
      </c>
      <c r="F1640" s="91">
        <v>46431</v>
      </c>
      <c r="G1640" s="92">
        <v>112028</v>
      </c>
      <c r="H1640" s="90" t="s">
        <v>9</v>
      </c>
      <c r="I16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40" s="90" t="s">
        <v>8744</v>
      </c>
    </row>
    <row r="1641" spans="1:11">
      <c r="A1641" s="90" t="s">
        <v>6192</v>
      </c>
      <c r="B1641" s="90" t="s">
        <v>6193</v>
      </c>
      <c r="C1641" s="90" t="s">
        <v>16</v>
      </c>
      <c r="D1641" s="90" t="str">
        <f>VLOOKUP(Tabela1[[#This Row],[Origem]],'Perguntas 1 a 24'!$J$28:$K$34,2,FALSE)</f>
        <v>Sudeste</v>
      </c>
      <c r="E1641" s="90" t="s">
        <v>12980</v>
      </c>
      <c r="F1641" s="91">
        <v>46432</v>
      </c>
      <c r="G1641" s="92">
        <v>109465</v>
      </c>
      <c r="H1641" s="90" t="s">
        <v>7</v>
      </c>
      <c r="I16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41" s="90" t="s">
        <v>6193</v>
      </c>
    </row>
    <row r="1642" spans="1:11">
      <c r="A1642" s="90" t="s">
        <v>4353</v>
      </c>
      <c r="B1642" s="90" t="s">
        <v>4354</v>
      </c>
      <c r="C1642" s="90" t="s">
        <v>16</v>
      </c>
      <c r="D1642" s="90" t="str">
        <f>VLOOKUP(Tabela1[[#This Row],[Origem]],'Perguntas 1 a 24'!$J$28:$K$34,2,FALSE)</f>
        <v>Sudeste</v>
      </c>
      <c r="E1642" s="90" t="s">
        <v>12981</v>
      </c>
      <c r="F1642" s="91">
        <v>46433</v>
      </c>
      <c r="G1642" s="92">
        <v>73202</v>
      </c>
      <c r="H1642" s="90" t="s">
        <v>9</v>
      </c>
      <c r="I16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42" s="90" t="s">
        <v>4354</v>
      </c>
    </row>
    <row r="1643" spans="1:11">
      <c r="A1643" s="90" t="s">
        <v>9899</v>
      </c>
      <c r="B1643" s="90" t="s">
        <v>9900</v>
      </c>
      <c r="C1643" s="90" t="s">
        <v>6</v>
      </c>
      <c r="D1643" s="90" t="str">
        <f>VLOOKUP(Tabela1[[#This Row],[Origem]],'Perguntas 1 a 24'!$J$28:$K$34,2,FALSE)</f>
        <v>Nordeste</v>
      </c>
      <c r="E1643" s="90" t="s">
        <v>12982</v>
      </c>
      <c r="F1643" s="91">
        <v>46435</v>
      </c>
      <c r="G1643" s="92">
        <v>59262</v>
      </c>
      <c r="H1643" s="90" t="s">
        <v>7</v>
      </c>
      <c r="I16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43" s="90" t="s">
        <v>9900</v>
      </c>
    </row>
    <row r="1644" spans="1:11">
      <c r="A1644" s="90" t="s">
        <v>9975</v>
      </c>
      <c r="B1644" s="90" t="s">
        <v>9976</v>
      </c>
      <c r="C1644" s="90" t="s">
        <v>8</v>
      </c>
      <c r="D1644" s="90" t="str">
        <f>VLOOKUP(Tabela1[[#This Row],[Origem]],'Perguntas 1 a 24'!$J$28:$K$34,2,FALSE)</f>
        <v>Nordeste</v>
      </c>
      <c r="E1644" s="90" t="s">
        <v>12983</v>
      </c>
      <c r="F1644" s="91">
        <v>46435</v>
      </c>
      <c r="G1644" s="92">
        <v>24640</v>
      </c>
      <c r="H1644" s="90" t="s">
        <v>9</v>
      </c>
      <c r="I16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44" s="90" t="s">
        <v>9976</v>
      </c>
    </row>
    <row r="1645" spans="1:11">
      <c r="A1645" s="90" t="s">
        <v>4351</v>
      </c>
      <c r="B1645" s="90" t="s">
        <v>4352</v>
      </c>
      <c r="C1645" s="90" t="s">
        <v>16</v>
      </c>
      <c r="D1645" s="90" t="str">
        <f>VLOOKUP(Tabela1[[#This Row],[Origem]],'Perguntas 1 a 24'!$J$28:$K$34,2,FALSE)</f>
        <v>Sudeste</v>
      </c>
      <c r="E1645" s="90" t="s">
        <v>12984</v>
      </c>
      <c r="F1645" s="91">
        <v>46437</v>
      </c>
      <c r="G1645" s="92">
        <v>32677</v>
      </c>
      <c r="H1645" s="90" t="s">
        <v>11</v>
      </c>
      <c r="I16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45" s="90" t="s">
        <v>4352</v>
      </c>
    </row>
    <row r="1646" spans="1:11">
      <c r="A1646" s="90" t="s">
        <v>5426</v>
      </c>
      <c r="B1646" s="90" t="s">
        <v>5427</v>
      </c>
      <c r="C1646" s="90" t="s">
        <v>16</v>
      </c>
      <c r="D1646" s="90" t="str">
        <f>VLOOKUP(Tabela1[[#This Row],[Origem]],'Perguntas 1 a 24'!$J$28:$K$34,2,FALSE)</f>
        <v>Sudeste</v>
      </c>
      <c r="E1646" s="90" t="s">
        <v>12985</v>
      </c>
      <c r="F1646" s="91">
        <v>46438</v>
      </c>
      <c r="G1646" s="92">
        <v>27770</v>
      </c>
      <c r="H1646" s="90" t="s">
        <v>14</v>
      </c>
      <c r="I16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46" s="90" t="s">
        <v>5427</v>
      </c>
    </row>
    <row r="1647" spans="1:11">
      <c r="A1647" s="90" t="s">
        <v>10017</v>
      </c>
      <c r="B1647" s="90" t="s">
        <v>10018</v>
      </c>
      <c r="C1647" s="90" t="s">
        <v>15</v>
      </c>
      <c r="D1647" s="90" t="str">
        <f>VLOOKUP(Tabela1[[#This Row],[Origem]],'Perguntas 1 a 24'!$J$28:$K$34,2,FALSE)</f>
        <v>Sudeste</v>
      </c>
      <c r="E1647" s="90" t="s">
        <v>12986</v>
      </c>
      <c r="F1647" s="91">
        <v>46438</v>
      </c>
      <c r="G1647" s="92">
        <v>88865</v>
      </c>
      <c r="H1647" s="90" t="s">
        <v>14</v>
      </c>
      <c r="I16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47" s="90" t="s">
        <v>10018</v>
      </c>
    </row>
    <row r="1648" spans="1:11">
      <c r="A1648" s="90" t="s">
        <v>8627</v>
      </c>
      <c r="B1648" s="90" t="s">
        <v>8628</v>
      </c>
      <c r="C1648" s="90" t="s">
        <v>8</v>
      </c>
      <c r="D1648" s="90" t="str">
        <f>VLOOKUP(Tabela1[[#This Row],[Origem]],'Perguntas 1 a 24'!$J$28:$K$34,2,FALSE)</f>
        <v>Nordeste</v>
      </c>
      <c r="E1648" s="90" t="s">
        <v>12987</v>
      </c>
      <c r="F1648" s="91">
        <v>46439</v>
      </c>
      <c r="G1648" s="92">
        <v>55256</v>
      </c>
      <c r="H1648" s="90" t="s">
        <v>14</v>
      </c>
      <c r="I16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48" s="90" t="s">
        <v>8628</v>
      </c>
    </row>
    <row r="1649" spans="1:11">
      <c r="A1649" s="90" t="s">
        <v>9119</v>
      </c>
      <c r="B1649" s="90" t="s">
        <v>9120</v>
      </c>
      <c r="C1649" s="90" t="s">
        <v>13</v>
      </c>
      <c r="D1649" s="90" t="str">
        <f>VLOOKUP(Tabela1[[#This Row],[Origem]],'Perguntas 1 a 24'!$J$28:$K$34,2,FALSE)</f>
        <v>Sudeste</v>
      </c>
      <c r="E1649" s="90" t="s">
        <v>12988</v>
      </c>
      <c r="F1649" s="91">
        <v>46439</v>
      </c>
      <c r="G1649" s="92">
        <v>48600</v>
      </c>
      <c r="H1649" s="90" t="s">
        <v>14</v>
      </c>
      <c r="I16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49" s="90" t="s">
        <v>9120</v>
      </c>
    </row>
    <row r="1650" spans="1:11">
      <c r="A1650" s="90" t="s">
        <v>8498</v>
      </c>
      <c r="B1650" s="90" t="s">
        <v>8499</v>
      </c>
      <c r="C1650" s="90" t="s">
        <v>8</v>
      </c>
      <c r="D1650" s="90" t="str">
        <f>VLOOKUP(Tabela1[[#This Row],[Origem]],'Perguntas 1 a 24'!$J$28:$K$34,2,FALSE)</f>
        <v>Nordeste</v>
      </c>
      <c r="E1650" s="90" t="s">
        <v>12989</v>
      </c>
      <c r="F1650" s="91">
        <v>46441</v>
      </c>
      <c r="G1650" s="92">
        <v>91935</v>
      </c>
      <c r="H1650" s="90" t="s">
        <v>9</v>
      </c>
      <c r="I16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0" s="90" t="s">
        <v>8499</v>
      </c>
    </row>
    <row r="1651" spans="1:11">
      <c r="A1651" s="90" t="s">
        <v>3938</v>
      </c>
      <c r="B1651" s="90" t="s">
        <v>3939</v>
      </c>
      <c r="C1651" s="90" t="s">
        <v>13</v>
      </c>
      <c r="D1651" s="90" t="str">
        <f>VLOOKUP(Tabela1[[#This Row],[Origem]],'Perguntas 1 a 24'!$J$28:$K$34,2,FALSE)</f>
        <v>Sudeste</v>
      </c>
      <c r="E1651" s="90" t="s">
        <v>12990</v>
      </c>
      <c r="F1651" s="91">
        <v>46443</v>
      </c>
      <c r="G1651" s="92">
        <v>84280</v>
      </c>
      <c r="H1651" s="90" t="s">
        <v>7</v>
      </c>
      <c r="I16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1" s="90" t="s">
        <v>3939</v>
      </c>
    </row>
    <row r="1652" spans="1:11">
      <c r="A1652" s="90" t="s">
        <v>4732</v>
      </c>
      <c r="B1652" s="90" t="s">
        <v>4733</v>
      </c>
      <c r="C1652" s="90" t="s">
        <v>10</v>
      </c>
      <c r="D1652" s="90" t="str">
        <f>VLOOKUP(Tabela1[[#This Row],[Origem]],'Perguntas 1 a 24'!$J$28:$K$34,2,FALSE)</f>
        <v>Centro-Oeste</v>
      </c>
      <c r="E1652" s="90" t="s">
        <v>12991</v>
      </c>
      <c r="F1652" s="91">
        <v>46443</v>
      </c>
      <c r="G1652" s="92">
        <v>67591</v>
      </c>
      <c r="H1652" s="90" t="s">
        <v>9</v>
      </c>
      <c r="I16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2" s="90" t="s">
        <v>4733</v>
      </c>
    </row>
    <row r="1653" spans="1:11">
      <c r="A1653" s="90" t="s">
        <v>8282</v>
      </c>
      <c r="B1653" s="90" t="s">
        <v>8283</v>
      </c>
      <c r="C1653" s="90" t="s">
        <v>16</v>
      </c>
      <c r="D1653" s="90" t="str">
        <f>VLOOKUP(Tabela1[[#This Row],[Origem]],'Perguntas 1 a 24'!$J$28:$K$34,2,FALSE)</f>
        <v>Sudeste</v>
      </c>
      <c r="E1653" s="90" t="s">
        <v>12992</v>
      </c>
      <c r="F1653" s="91">
        <v>46443</v>
      </c>
      <c r="G1653" s="92">
        <v>62360</v>
      </c>
      <c r="H1653" s="90" t="s">
        <v>7</v>
      </c>
      <c r="I16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3" s="90" t="s">
        <v>8283</v>
      </c>
    </row>
    <row r="1654" spans="1:11">
      <c r="A1654" s="90" t="s">
        <v>4832</v>
      </c>
      <c r="B1654" s="90" t="s">
        <v>4833</v>
      </c>
      <c r="C1654" s="90" t="s">
        <v>6</v>
      </c>
      <c r="D1654" s="90" t="str">
        <f>VLOOKUP(Tabela1[[#This Row],[Origem]],'Perguntas 1 a 24'!$J$28:$K$34,2,FALSE)</f>
        <v>Nordeste</v>
      </c>
      <c r="E1654" s="90" t="s">
        <v>12993</v>
      </c>
      <c r="F1654" s="91">
        <v>46444</v>
      </c>
      <c r="G1654" s="92">
        <v>117902</v>
      </c>
      <c r="H1654" s="90" t="s">
        <v>7</v>
      </c>
      <c r="I16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4" s="90" t="s">
        <v>4833</v>
      </c>
    </row>
    <row r="1655" spans="1:11">
      <c r="A1655" s="90" t="s">
        <v>10859</v>
      </c>
      <c r="B1655" s="90" t="s">
        <v>10860</v>
      </c>
      <c r="C1655" s="90" t="s">
        <v>16</v>
      </c>
      <c r="D1655" s="90" t="str">
        <f>VLOOKUP(Tabela1[[#This Row],[Origem]],'Perguntas 1 a 24'!$J$28:$K$34,2,FALSE)</f>
        <v>Sudeste</v>
      </c>
      <c r="E1655" s="90" t="s">
        <v>12994</v>
      </c>
      <c r="F1655" s="91">
        <v>46444</v>
      </c>
      <c r="G1655" s="92">
        <v>106835</v>
      </c>
      <c r="H1655" s="90" t="s">
        <v>14</v>
      </c>
      <c r="I16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5" s="90" t="s">
        <v>10860</v>
      </c>
    </row>
    <row r="1656" spans="1:11">
      <c r="A1656" s="90" t="s">
        <v>6696</v>
      </c>
      <c r="B1656" s="90" t="s">
        <v>6697</v>
      </c>
      <c r="C1656" s="90" t="s">
        <v>12</v>
      </c>
      <c r="D1656" s="90" t="str">
        <f>VLOOKUP(Tabela1[[#This Row],[Origem]],'Perguntas 1 a 24'!$J$28:$K$34,2,FALSE)</f>
        <v>Sudeste</v>
      </c>
      <c r="E1656" s="90" t="s">
        <v>12995</v>
      </c>
      <c r="F1656" s="91">
        <v>46445</v>
      </c>
      <c r="G1656" s="92">
        <v>62736</v>
      </c>
      <c r="H1656" s="90" t="s">
        <v>9</v>
      </c>
      <c r="I16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6" s="90" t="s">
        <v>6697</v>
      </c>
    </row>
    <row r="1657" spans="1:11">
      <c r="A1657" s="90" t="s">
        <v>8875</v>
      </c>
      <c r="B1657" s="90" t="s">
        <v>8876</v>
      </c>
      <c r="C1657" s="90" t="s">
        <v>6</v>
      </c>
      <c r="D1657" s="90" t="str">
        <f>VLOOKUP(Tabela1[[#This Row],[Origem]],'Perguntas 1 a 24'!$J$28:$K$34,2,FALSE)</f>
        <v>Nordeste</v>
      </c>
      <c r="E1657" s="90" t="s">
        <v>12996</v>
      </c>
      <c r="F1657" s="91">
        <v>46445</v>
      </c>
      <c r="G1657" s="92">
        <v>68965</v>
      </c>
      <c r="H1657" s="90" t="s">
        <v>14</v>
      </c>
      <c r="I16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7" s="90" t="s">
        <v>8876</v>
      </c>
    </row>
    <row r="1658" spans="1:11">
      <c r="A1658" s="90" t="s">
        <v>10275</v>
      </c>
      <c r="B1658" s="90" t="s">
        <v>10276</v>
      </c>
      <c r="C1658" s="90" t="s">
        <v>10</v>
      </c>
      <c r="D1658" s="90" t="str">
        <f>VLOOKUP(Tabela1[[#This Row],[Origem]],'Perguntas 1 a 24'!$J$28:$K$34,2,FALSE)</f>
        <v>Centro-Oeste</v>
      </c>
      <c r="E1658" s="90" t="s">
        <v>12997</v>
      </c>
      <c r="F1658" s="91">
        <v>46445</v>
      </c>
      <c r="G1658" s="92">
        <v>93631</v>
      </c>
      <c r="H1658" s="90" t="s">
        <v>9</v>
      </c>
      <c r="I16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8" s="90" t="s">
        <v>10276</v>
      </c>
    </row>
    <row r="1659" spans="1:11">
      <c r="A1659" s="90" t="s">
        <v>5504</v>
      </c>
      <c r="B1659" s="90" t="s">
        <v>5505</v>
      </c>
      <c r="C1659" s="90" t="s">
        <v>6</v>
      </c>
      <c r="D1659" s="90" t="str">
        <f>VLOOKUP(Tabela1[[#This Row],[Origem]],'Perguntas 1 a 24'!$J$28:$K$34,2,FALSE)</f>
        <v>Nordeste</v>
      </c>
      <c r="E1659" s="90" t="s">
        <v>12998</v>
      </c>
      <c r="F1659" s="91">
        <v>46446</v>
      </c>
      <c r="G1659" s="92">
        <v>101793</v>
      </c>
      <c r="H1659" s="90" t="s">
        <v>9</v>
      </c>
      <c r="I16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59" s="90" t="s">
        <v>5505</v>
      </c>
    </row>
    <row r="1660" spans="1:11">
      <c r="A1660" s="90" t="s">
        <v>9029</v>
      </c>
      <c r="B1660" s="90" t="s">
        <v>9030</v>
      </c>
      <c r="C1660" s="90" t="s">
        <v>6</v>
      </c>
      <c r="D1660" s="90" t="str">
        <f>VLOOKUP(Tabela1[[#This Row],[Origem]],'Perguntas 1 a 24'!$J$28:$K$34,2,FALSE)</f>
        <v>Nordeste</v>
      </c>
      <c r="E1660" s="90" t="s">
        <v>12999</v>
      </c>
      <c r="F1660" s="91">
        <v>46446</v>
      </c>
      <c r="G1660" s="92">
        <v>31585</v>
      </c>
      <c r="H1660" s="90" t="s">
        <v>7</v>
      </c>
      <c r="I16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60" s="90" t="s">
        <v>9030</v>
      </c>
    </row>
    <row r="1661" spans="1:11">
      <c r="A1661" s="90" t="s">
        <v>9347</v>
      </c>
      <c r="B1661" s="90" t="s">
        <v>9348</v>
      </c>
      <c r="C1661" s="90" t="s">
        <v>10</v>
      </c>
      <c r="D1661" s="90" t="str">
        <f>VLOOKUP(Tabela1[[#This Row],[Origem]],'Perguntas 1 a 24'!$J$28:$K$34,2,FALSE)</f>
        <v>Centro-Oeste</v>
      </c>
      <c r="E1661" s="90" t="s">
        <v>13000</v>
      </c>
      <c r="F1661" s="91">
        <v>46446</v>
      </c>
      <c r="G1661" s="92">
        <v>44565</v>
      </c>
      <c r="H1661" s="90" t="s">
        <v>11</v>
      </c>
      <c r="I16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61" s="90" t="s">
        <v>9348</v>
      </c>
    </row>
    <row r="1662" spans="1:11">
      <c r="A1662" s="90" t="s">
        <v>4455</v>
      </c>
      <c r="B1662" s="90" t="s">
        <v>4456</v>
      </c>
      <c r="C1662" s="90" t="s">
        <v>12</v>
      </c>
      <c r="D1662" s="90" t="str">
        <f>VLOOKUP(Tabela1[[#This Row],[Origem]],'Perguntas 1 a 24'!$J$28:$K$34,2,FALSE)</f>
        <v>Sudeste</v>
      </c>
      <c r="E1662" s="90" t="s">
        <v>13001</v>
      </c>
      <c r="F1662" s="91">
        <v>46447</v>
      </c>
      <c r="G1662" s="92">
        <v>107847</v>
      </c>
      <c r="H1662" s="90" t="s">
        <v>11</v>
      </c>
      <c r="I16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62" s="90" t="s">
        <v>4456</v>
      </c>
    </row>
    <row r="1663" spans="1:11">
      <c r="A1663" s="90" t="s">
        <v>5050</v>
      </c>
      <c r="B1663" s="90" t="s">
        <v>5051</v>
      </c>
      <c r="C1663" s="90" t="s">
        <v>12</v>
      </c>
      <c r="D1663" s="90" t="str">
        <f>VLOOKUP(Tabela1[[#This Row],[Origem]],'Perguntas 1 a 24'!$J$28:$K$34,2,FALSE)</f>
        <v>Sudeste</v>
      </c>
      <c r="E1663" s="90" t="s">
        <v>13002</v>
      </c>
      <c r="F1663" s="91">
        <v>46447</v>
      </c>
      <c r="G1663" s="92">
        <v>47145</v>
      </c>
      <c r="H1663" s="90" t="s">
        <v>11</v>
      </c>
      <c r="I16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63" s="90" t="s">
        <v>5051</v>
      </c>
    </row>
    <row r="1664" spans="1:11">
      <c r="A1664" s="90" t="s">
        <v>5796</v>
      </c>
      <c r="B1664" s="90" t="s">
        <v>5797</v>
      </c>
      <c r="C1664" s="90" t="s">
        <v>8</v>
      </c>
      <c r="D1664" s="90" t="str">
        <f>VLOOKUP(Tabela1[[#This Row],[Origem]],'Perguntas 1 a 24'!$J$28:$K$34,2,FALSE)</f>
        <v>Nordeste</v>
      </c>
      <c r="E1664" s="90" t="s">
        <v>13003</v>
      </c>
      <c r="F1664" s="91">
        <v>46449</v>
      </c>
      <c r="G1664" s="92">
        <v>112447</v>
      </c>
      <c r="H1664" s="90" t="s">
        <v>9</v>
      </c>
      <c r="I16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64" s="90" t="s">
        <v>5797</v>
      </c>
    </row>
    <row r="1665" spans="1:11">
      <c r="A1665" s="90" t="s">
        <v>9337</v>
      </c>
      <c r="B1665" s="90" t="s">
        <v>9338</v>
      </c>
      <c r="C1665" s="90" t="s">
        <v>12</v>
      </c>
      <c r="D1665" s="90" t="str">
        <f>VLOOKUP(Tabela1[[#This Row],[Origem]],'Perguntas 1 a 24'!$J$28:$K$34,2,FALSE)</f>
        <v>Sudeste</v>
      </c>
      <c r="E1665" s="90" t="s">
        <v>13004</v>
      </c>
      <c r="F1665" s="91">
        <v>46449</v>
      </c>
      <c r="G1665" s="92">
        <v>90101</v>
      </c>
      <c r="H1665" s="90" t="s">
        <v>14</v>
      </c>
      <c r="I16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65" s="90" t="s">
        <v>9338</v>
      </c>
    </row>
    <row r="1666" spans="1:11">
      <c r="A1666" s="90" t="s">
        <v>9841</v>
      </c>
      <c r="B1666" s="90" t="s">
        <v>9842</v>
      </c>
      <c r="C1666" s="90" t="s">
        <v>12</v>
      </c>
      <c r="D1666" s="90" t="str">
        <f>VLOOKUP(Tabela1[[#This Row],[Origem]],'Perguntas 1 a 24'!$J$28:$K$34,2,FALSE)</f>
        <v>Sudeste</v>
      </c>
      <c r="E1666" s="90" t="s">
        <v>13005</v>
      </c>
      <c r="F1666" s="91">
        <v>46449</v>
      </c>
      <c r="G1666" s="92">
        <v>33813</v>
      </c>
      <c r="H1666" s="90" t="s">
        <v>9</v>
      </c>
      <c r="I16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66" s="90" t="s">
        <v>9842</v>
      </c>
    </row>
    <row r="1667" spans="1:11">
      <c r="A1667" s="90" t="s">
        <v>9933</v>
      </c>
      <c r="B1667" s="90" t="s">
        <v>9934</v>
      </c>
      <c r="C1667" s="90" t="s">
        <v>6</v>
      </c>
      <c r="D1667" s="90" t="str">
        <f>VLOOKUP(Tabela1[[#This Row],[Origem]],'Perguntas 1 a 24'!$J$28:$K$34,2,FALSE)</f>
        <v>Nordeste</v>
      </c>
      <c r="E1667" s="90" t="s">
        <v>13006</v>
      </c>
      <c r="F1667" s="91">
        <v>46449</v>
      </c>
      <c r="G1667" s="92">
        <v>48570</v>
      </c>
      <c r="H1667" s="90" t="s">
        <v>7</v>
      </c>
      <c r="I16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67" s="90" t="s">
        <v>9934</v>
      </c>
    </row>
    <row r="1668" spans="1:11">
      <c r="A1668" s="90" t="s">
        <v>3768</v>
      </c>
      <c r="B1668" s="90" t="s">
        <v>3769</v>
      </c>
      <c r="C1668" s="90" t="s">
        <v>15</v>
      </c>
      <c r="D1668" s="90" t="str">
        <f>VLOOKUP(Tabela1[[#This Row],[Origem]],'Perguntas 1 a 24'!$J$28:$K$34,2,FALSE)</f>
        <v>Sudeste</v>
      </c>
      <c r="E1668" s="90" t="s">
        <v>13007</v>
      </c>
      <c r="F1668" s="91">
        <v>46450</v>
      </c>
      <c r="G1668" s="92">
        <v>28861</v>
      </c>
      <c r="H1668" s="90" t="s">
        <v>11</v>
      </c>
      <c r="I16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68" s="90" t="s">
        <v>3769</v>
      </c>
    </row>
    <row r="1669" spans="1:11">
      <c r="A1669" s="90" t="s">
        <v>5206</v>
      </c>
      <c r="B1669" s="90" t="s">
        <v>5207</v>
      </c>
      <c r="C1669" s="90" t="s">
        <v>10</v>
      </c>
      <c r="D1669" s="90" t="str">
        <f>VLOOKUP(Tabela1[[#This Row],[Origem]],'Perguntas 1 a 24'!$J$28:$K$34,2,FALSE)</f>
        <v>Centro-Oeste</v>
      </c>
      <c r="E1669" s="90" t="s">
        <v>13008</v>
      </c>
      <c r="F1669" s="91">
        <v>46450</v>
      </c>
      <c r="G1669" s="92">
        <v>74734</v>
      </c>
      <c r="H1669" s="90" t="s">
        <v>9</v>
      </c>
      <c r="I16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69" s="90" t="s">
        <v>5207</v>
      </c>
    </row>
    <row r="1670" spans="1:11">
      <c r="A1670" s="90" t="s">
        <v>5680</v>
      </c>
      <c r="B1670" s="90" t="s">
        <v>5681</v>
      </c>
      <c r="C1670" s="90" t="s">
        <v>12</v>
      </c>
      <c r="D1670" s="90" t="str">
        <f>VLOOKUP(Tabela1[[#This Row],[Origem]],'Perguntas 1 a 24'!$J$28:$K$34,2,FALSE)</f>
        <v>Sudeste</v>
      </c>
      <c r="E1670" s="90" t="s">
        <v>13009</v>
      </c>
      <c r="F1670" s="91">
        <v>46450</v>
      </c>
      <c r="G1670" s="92">
        <v>106815</v>
      </c>
      <c r="H1670" s="90" t="s">
        <v>14</v>
      </c>
      <c r="I16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0" s="90" t="s">
        <v>5681</v>
      </c>
    </row>
    <row r="1671" spans="1:11">
      <c r="A1671" s="90" t="s">
        <v>9663</v>
      </c>
      <c r="B1671" s="90" t="s">
        <v>9664</v>
      </c>
      <c r="C1671" s="90" t="s">
        <v>10</v>
      </c>
      <c r="D1671" s="90" t="str">
        <f>VLOOKUP(Tabela1[[#This Row],[Origem]],'Perguntas 1 a 24'!$J$28:$K$34,2,FALSE)</f>
        <v>Centro-Oeste</v>
      </c>
      <c r="E1671" s="90" t="s">
        <v>13010</v>
      </c>
      <c r="F1671" s="91">
        <v>46451</v>
      </c>
      <c r="G1671" s="92">
        <v>72693</v>
      </c>
      <c r="H1671" s="90" t="s">
        <v>7</v>
      </c>
      <c r="I16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1" s="90" t="s">
        <v>9664</v>
      </c>
    </row>
    <row r="1672" spans="1:11">
      <c r="A1672" s="90" t="s">
        <v>4062</v>
      </c>
      <c r="B1672" s="90" t="s">
        <v>4063</v>
      </c>
      <c r="C1672" s="90" t="s">
        <v>16</v>
      </c>
      <c r="D1672" s="90" t="str">
        <f>VLOOKUP(Tabela1[[#This Row],[Origem]],'Perguntas 1 a 24'!$J$28:$K$34,2,FALSE)</f>
        <v>Sudeste</v>
      </c>
      <c r="E1672" s="90" t="s">
        <v>13011</v>
      </c>
      <c r="F1672" s="91">
        <v>46452</v>
      </c>
      <c r="G1672" s="92">
        <v>89760</v>
      </c>
      <c r="H1672" s="90" t="s">
        <v>11</v>
      </c>
      <c r="I16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2" s="90" t="s">
        <v>4063</v>
      </c>
    </row>
    <row r="1673" spans="1:11">
      <c r="A1673" s="90" t="s">
        <v>5278</v>
      </c>
      <c r="B1673" s="90" t="s">
        <v>5279</v>
      </c>
      <c r="C1673" s="90" t="s">
        <v>16</v>
      </c>
      <c r="D1673" s="90" t="str">
        <f>VLOOKUP(Tabela1[[#This Row],[Origem]],'Perguntas 1 a 24'!$J$28:$K$34,2,FALSE)</f>
        <v>Sudeste</v>
      </c>
      <c r="E1673" s="90" t="s">
        <v>13012</v>
      </c>
      <c r="F1673" s="91">
        <v>46452</v>
      </c>
      <c r="G1673" s="92">
        <v>105236</v>
      </c>
      <c r="H1673" s="90" t="s">
        <v>9</v>
      </c>
      <c r="I16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3" s="90" t="s">
        <v>5279</v>
      </c>
    </row>
    <row r="1674" spans="1:11">
      <c r="A1674" s="90" t="s">
        <v>7832</v>
      </c>
      <c r="B1674" s="90" t="s">
        <v>7833</v>
      </c>
      <c r="C1674" s="90" t="s">
        <v>16</v>
      </c>
      <c r="D1674" s="90" t="str">
        <f>VLOOKUP(Tabela1[[#This Row],[Origem]],'Perguntas 1 a 24'!$J$28:$K$34,2,FALSE)</f>
        <v>Sudeste</v>
      </c>
      <c r="E1674" s="90" t="s">
        <v>13013</v>
      </c>
      <c r="F1674" s="91">
        <v>46452</v>
      </c>
      <c r="G1674" s="92">
        <v>36391</v>
      </c>
      <c r="H1674" s="90" t="s">
        <v>11</v>
      </c>
      <c r="I16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74" s="90" t="s">
        <v>7833</v>
      </c>
    </row>
    <row r="1675" spans="1:11">
      <c r="A1675" s="90" t="s">
        <v>4289</v>
      </c>
      <c r="B1675" s="90" t="s">
        <v>4290</v>
      </c>
      <c r="C1675" s="90" t="s">
        <v>15</v>
      </c>
      <c r="D1675" s="90" t="str">
        <f>VLOOKUP(Tabela1[[#This Row],[Origem]],'Perguntas 1 a 24'!$J$28:$K$34,2,FALSE)</f>
        <v>Sudeste</v>
      </c>
      <c r="E1675" s="90" t="s">
        <v>13014</v>
      </c>
      <c r="F1675" s="91">
        <v>46453</v>
      </c>
      <c r="G1675" s="92">
        <v>105676</v>
      </c>
      <c r="H1675" s="90" t="s">
        <v>14</v>
      </c>
      <c r="I16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5" s="90" t="s">
        <v>4290</v>
      </c>
    </row>
    <row r="1676" spans="1:11">
      <c r="A1676" s="90" t="s">
        <v>8214</v>
      </c>
      <c r="B1676" s="90" t="s">
        <v>8215</v>
      </c>
      <c r="C1676" s="90" t="s">
        <v>12</v>
      </c>
      <c r="D1676" s="90" t="str">
        <f>VLOOKUP(Tabela1[[#This Row],[Origem]],'Perguntas 1 a 24'!$J$28:$K$34,2,FALSE)</f>
        <v>Sudeste</v>
      </c>
      <c r="E1676" s="90" t="s">
        <v>13015</v>
      </c>
      <c r="F1676" s="91">
        <v>46453</v>
      </c>
      <c r="G1676" s="92">
        <v>107154</v>
      </c>
      <c r="H1676" s="90" t="s">
        <v>11</v>
      </c>
      <c r="I16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6" s="90" t="s">
        <v>8215</v>
      </c>
    </row>
    <row r="1677" spans="1:11">
      <c r="A1677" s="90" t="s">
        <v>8366</v>
      </c>
      <c r="B1677" s="90" t="s">
        <v>8367</v>
      </c>
      <c r="C1677" s="90" t="s">
        <v>10</v>
      </c>
      <c r="D1677" s="90" t="str">
        <f>VLOOKUP(Tabela1[[#This Row],[Origem]],'Perguntas 1 a 24'!$J$28:$K$34,2,FALSE)</f>
        <v>Centro-Oeste</v>
      </c>
      <c r="E1677" s="90" t="s">
        <v>13016</v>
      </c>
      <c r="F1677" s="91">
        <v>46453</v>
      </c>
      <c r="G1677" s="92">
        <v>57067</v>
      </c>
      <c r="H1677" s="90" t="s">
        <v>7</v>
      </c>
      <c r="I16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7" s="90" t="s">
        <v>8367</v>
      </c>
    </row>
    <row r="1678" spans="1:11">
      <c r="A1678" s="90" t="s">
        <v>7102</v>
      </c>
      <c r="B1678" s="90" t="s">
        <v>7103</v>
      </c>
      <c r="C1678" s="90" t="s">
        <v>15</v>
      </c>
      <c r="D1678" s="90" t="str">
        <f>VLOOKUP(Tabela1[[#This Row],[Origem]],'Perguntas 1 a 24'!$J$28:$K$34,2,FALSE)</f>
        <v>Sudeste</v>
      </c>
      <c r="E1678" s="90" t="s">
        <v>13017</v>
      </c>
      <c r="F1678" s="91">
        <v>46454</v>
      </c>
      <c r="G1678" s="92">
        <v>71704</v>
      </c>
      <c r="H1678" s="90" t="s">
        <v>11</v>
      </c>
      <c r="I16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8" s="90" t="s">
        <v>7103</v>
      </c>
    </row>
    <row r="1679" spans="1:11">
      <c r="A1679" s="90" t="s">
        <v>10992</v>
      </c>
      <c r="B1679" s="90" t="s">
        <v>10993</v>
      </c>
      <c r="C1679" s="90" t="s">
        <v>6</v>
      </c>
      <c r="D1679" s="90" t="str">
        <f>VLOOKUP(Tabela1[[#This Row],[Origem]],'Perguntas 1 a 24'!$J$28:$K$34,2,FALSE)</f>
        <v>Nordeste</v>
      </c>
      <c r="E1679" s="90" t="s">
        <v>13018</v>
      </c>
      <c r="F1679" s="91">
        <v>46454</v>
      </c>
      <c r="G1679" s="92">
        <v>84815</v>
      </c>
      <c r="H1679" s="90" t="s">
        <v>9</v>
      </c>
      <c r="I16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79" s="90" t="s">
        <v>10993</v>
      </c>
    </row>
    <row r="1680" spans="1:11">
      <c r="A1680" s="90" t="s">
        <v>6752</v>
      </c>
      <c r="B1680" s="90" t="s">
        <v>6753</v>
      </c>
      <c r="C1680" s="90" t="s">
        <v>12</v>
      </c>
      <c r="D1680" s="90" t="str">
        <f>VLOOKUP(Tabela1[[#This Row],[Origem]],'Perguntas 1 a 24'!$J$28:$K$34,2,FALSE)</f>
        <v>Sudeste</v>
      </c>
      <c r="E1680" s="90" t="s">
        <v>13019</v>
      </c>
      <c r="F1680" s="91">
        <v>46455</v>
      </c>
      <c r="G1680" s="92">
        <v>54427</v>
      </c>
      <c r="H1680" s="90" t="s">
        <v>14</v>
      </c>
      <c r="I16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80" s="90" t="s">
        <v>6753</v>
      </c>
    </row>
    <row r="1681" spans="1:11">
      <c r="A1681" s="90" t="s">
        <v>8929</v>
      </c>
      <c r="B1681" s="90" t="s">
        <v>8930</v>
      </c>
      <c r="C1681" s="90" t="s">
        <v>16</v>
      </c>
      <c r="D1681" s="90" t="str">
        <f>VLOOKUP(Tabela1[[#This Row],[Origem]],'Perguntas 1 a 24'!$J$28:$K$34,2,FALSE)</f>
        <v>Sudeste</v>
      </c>
      <c r="E1681" s="90" t="s">
        <v>13020</v>
      </c>
      <c r="F1681" s="91">
        <v>46455</v>
      </c>
      <c r="G1681" s="92">
        <v>48825</v>
      </c>
      <c r="H1681" s="90" t="s">
        <v>9</v>
      </c>
      <c r="I16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81" s="90" t="s">
        <v>8930</v>
      </c>
    </row>
    <row r="1682" spans="1:11">
      <c r="A1682" s="90" t="s">
        <v>6746</v>
      </c>
      <c r="B1682" s="90" t="s">
        <v>6747</v>
      </c>
      <c r="C1682" s="90" t="s">
        <v>12</v>
      </c>
      <c r="D1682" s="90" t="str">
        <f>VLOOKUP(Tabela1[[#This Row],[Origem]],'Perguntas 1 a 24'!$J$28:$K$34,2,FALSE)</f>
        <v>Sudeste</v>
      </c>
      <c r="E1682" s="90" t="s">
        <v>13021</v>
      </c>
      <c r="F1682" s="91">
        <v>46457</v>
      </c>
      <c r="G1682" s="92">
        <v>111502</v>
      </c>
      <c r="H1682" s="90" t="s">
        <v>14</v>
      </c>
      <c r="I16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82" s="90" t="s">
        <v>6747</v>
      </c>
    </row>
    <row r="1683" spans="1:11">
      <c r="A1683" s="90" t="s">
        <v>8452</v>
      </c>
      <c r="B1683" s="90" t="s">
        <v>8453</v>
      </c>
      <c r="C1683" s="90" t="s">
        <v>8</v>
      </c>
      <c r="D1683" s="90" t="str">
        <f>VLOOKUP(Tabela1[[#This Row],[Origem]],'Perguntas 1 a 24'!$J$28:$K$34,2,FALSE)</f>
        <v>Nordeste</v>
      </c>
      <c r="E1683" s="90" t="s">
        <v>13022</v>
      </c>
      <c r="F1683" s="91">
        <v>46457</v>
      </c>
      <c r="G1683" s="92">
        <v>93160</v>
      </c>
      <c r="H1683" s="90" t="s">
        <v>9</v>
      </c>
      <c r="I16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83" s="90" t="s">
        <v>8453</v>
      </c>
    </row>
    <row r="1684" spans="1:11">
      <c r="A1684" s="90" t="s">
        <v>9411</v>
      </c>
      <c r="B1684" s="90" t="s">
        <v>9412</v>
      </c>
      <c r="C1684" s="90" t="s">
        <v>15</v>
      </c>
      <c r="D1684" s="90" t="str">
        <f>VLOOKUP(Tabela1[[#This Row],[Origem]],'Perguntas 1 a 24'!$J$28:$K$34,2,FALSE)</f>
        <v>Sudeste</v>
      </c>
      <c r="E1684" s="90" t="s">
        <v>13023</v>
      </c>
      <c r="F1684" s="91">
        <v>46458</v>
      </c>
      <c r="G1684" s="92">
        <v>56436</v>
      </c>
      <c r="H1684" s="90" t="s">
        <v>9</v>
      </c>
      <c r="I16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84" s="90" t="s">
        <v>9412</v>
      </c>
    </row>
    <row r="1685" spans="1:11">
      <c r="A1685" s="90" t="s">
        <v>4174</v>
      </c>
      <c r="B1685" s="90" t="s">
        <v>4175</v>
      </c>
      <c r="C1685" s="90" t="s">
        <v>8</v>
      </c>
      <c r="D1685" s="90" t="str">
        <f>VLOOKUP(Tabela1[[#This Row],[Origem]],'Perguntas 1 a 24'!$J$28:$K$34,2,FALSE)</f>
        <v>Nordeste</v>
      </c>
      <c r="E1685" s="90" t="s">
        <v>13024</v>
      </c>
      <c r="F1685" s="91">
        <v>46459</v>
      </c>
      <c r="G1685" s="92">
        <v>26323</v>
      </c>
      <c r="H1685" s="90" t="s">
        <v>11</v>
      </c>
      <c r="I16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85" s="90" t="s">
        <v>4175</v>
      </c>
    </row>
    <row r="1686" spans="1:11">
      <c r="A1686" s="90" t="s">
        <v>10303</v>
      </c>
      <c r="B1686" s="90" t="s">
        <v>10304</v>
      </c>
      <c r="C1686" s="90" t="s">
        <v>16</v>
      </c>
      <c r="D1686" s="90" t="str">
        <f>VLOOKUP(Tabela1[[#This Row],[Origem]],'Perguntas 1 a 24'!$J$28:$K$34,2,FALSE)</f>
        <v>Sudeste</v>
      </c>
      <c r="E1686" s="90" t="s">
        <v>13025</v>
      </c>
      <c r="F1686" s="91">
        <v>46459</v>
      </c>
      <c r="G1686" s="92">
        <v>108450</v>
      </c>
      <c r="H1686" s="90" t="s">
        <v>7</v>
      </c>
      <c r="I16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86" s="90" t="s">
        <v>10304</v>
      </c>
    </row>
    <row r="1687" spans="1:11">
      <c r="A1687" s="90" t="s">
        <v>11046</v>
      </c>
      <c r="B1687" s="90" t="s">
        <v>11047</v>
      </c>
      <c r="C1687" s="90" t="s">
        <v>12</v>
      </c>
      <c r="D1687" s="90" t="str">
        <f>VLOOKUP(Tabela1[[#This Row],[Origem]],'Perguntas 1 a 24'!$J$28:$K$34,2,FALSE)</f>
        <v>Sudeste</v>
      </c>
      <c r="E1687" s="90" t="s">
        <v>13026</v>
      </c>
      <c r="F1687" s="91">
        <v>46459</v>
      </c>
      <c r="G1687" s="92">
        <v>95703</v>
      </c>
      <c r="H1687" s="90" t="s">
        <v>11</v>
      </c>
      <c r="I16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87" s="90" t="s">
        <v>11047</v>
      </c>
    </row>
    <row r="1688" spans="1:11">
      <c r="A1688" s="90" t="s">
        <v>6464</v>
      </c>
      <c r="B1688" s="90" t="s">
        <v>6465</v>
      </c>
      <c r="C1688" s="90" t="s">
        <v>6</v>
      </c>
      <c r="D1688" s="90" t="str">
        <f>VLOOKUP(Tabela1[[#This Row],[Origem]],'Perguntas 1 a 24'!$J$28:$K$34,2,FALSE)</f>
        <v>Nordeste</v>
      </c>
      <c r="E1688" s="90" t="s">
        <v>13027</v>
      </c>
      <c r="F1688" s="91">
        <v>46460</v>
      </c>
      <c r="G1688" s="92">
        <v>56248</v>
      </c>
      <c r="H1688" s="90" t="s">
        <v>7</v>
      </c>
      <c r="I16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88" s="90" t="s">
        <v>6465</v>
      </c>
    </row>
    <row r="1689" spans="1:11">
      <c r="A1689" s="90" t="s">
        <v>11207</v>
      </c>
      <c r="B1689" s="90" t="s">
        <v>11208</v>
      </c>
      <c r="C1689" s="90" t="s">
        <v>8</v>
      </c>
      <c r="D1689" s="90" t="str">
        <f>VLOOKUP(Tabela1[[#This Row],[Origem]],'Perguntas 1 a 24'!$J$28:$K$34,2,FALSE)</f>
        <v>Nordeste</v>
      </c>
      <c r="E1689" s="90" t="s">
        <v>13028</v>
      </c>
      <c r="F1689" s="91">
        <v>46460</v>
      </c>
      <c r="G1689" s="92">
        <v>117858</v>
      </c>
      <c r="H1689" s="90" t="s">
        <v>14</v>
      </c>
      <c r="I16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89" s="90" t="s">
        <v>11208</v>
      </c>
    </row>
    <row r="1690" spans="1:11">
      <c r="A1690" s="90" t="s">
        <v>4361</v>
      </c>
      <c r="B1690" s="90" t="s">
        <v>4362</v>
      </c>
      <c r="C1690" s="90" t="s">
        <v>12</v>
      </c>
      <c r="D1690" s="90" t="str">
        <f>VLOOKUP(Tabela1[[#This Row],[Origem]],'Perguntas 1 a 24'!$J$28:$K$34,2,FALSE)</f>
        <v>Sudeste</v>
      </c>
      <c r="E1690" s="90" t="s">
        <v>13029</v>
      </c>
      <c r="F1690" s="91">
        <v>46461</v>
      </c>
      <c r="G1690" s="92">
        <v>38899</v>
      </c>
      <c r="H1690" s="90" t="s">
        <v>11</v>
      </c>
      <c r="I16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90" s="90" t="s">
        <v>4362</v>
      </c>
    </row>
    <row r="1691" spans="1:11">
      <c r="A1691" s="90" t="s">
        <v>8725</v>
      </c>
      <c r="B1691" s="90" t="s">
        <v>8726</v>
      </c>
      <c r="C1691" s="90" t="s">
        <v>6</v>
      </c>
      <c r="D1691" s="90" t="str">
        <f>VLOOKUP(Tabela1[[#This Row],[Origem]],'Perguntas 1 a 24'!$J$28:$K$34,2,FALSE)</f>
        <v>Nordeste</v>
      </c>
      <c r="E1691" s="90" t="s">
        <v>13030</v>
      </c>
      <c r="F1691" s="91">
        <v>46461</v>
      </c>
      <c r="G1691" s="92">
        <v>56111</v>
      </c>
      <c r="H1691" s="90" t="s">
        <v>14</v>
      </c>
      <c r="I16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91" s="90" t="s">
        <v>8726</v>
      </c>
    </row>
    <row r="1692" spans="1:11">
      <c r="A1692" s="90" t="s">
        <v>5130</v>
      </c>
      <c r="B1692" s="90" t="s">
        <v>5131</v>
      </c>
      <c r="C1692" s="90" t="s">
        <v>15</v>
      </c>
      <c r="D1692" s="90" t="str">
        <f>VLOOKUP(Tabela1[[#This Row],[Origem]],'Perguntas 1 a 24'!$J$28:$K$34,2,FALSE)</f>
        <v>Sudeste</v>
      </c>
      <c r="E1692" s="90" t="s">
        <v>13031</v>
      </c>
      <c r="F1692" s="91">
        <v>46463</v>
      </c>
      <c r="G1692" s="92">
        <v>80760</v>
      </c>
      <c r="H1692" s="90" t="s">
        <v>9</v>
      </c>
      <c r="I16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92" s="90" t="s">
        <v>5131</v>
      </c>
    </row>
    <row r="1693" spans="1:11">
      <c r="A1693" s="90" t="s">
        <v>8723</v>
      </c>
      <c r="B1693" s="90" t="s">
        <v>8724</v>
      </c>
      <c r="C1693" s="90" t="s">
        <v>12</v>
      </c>
      <c r="D1693" s="90" t="str">
        <f>VLOOKUP(Tabela1[[#This Row],[Origem]],'Perguntas 1 a 24'!$J$28:$K$34,2,FALSE)</f>
        <v>Sudeste</v>
      </c>
      <c r="E1693" s="90" t="s">
        <v>13032</v>
      </c>
      <c r="F1693" s="91">
        <v>46463</v>
      </c>
      <c r="G1693" s="92">
        <v>87154</v>
      </c>
      <c r="H1693" s="90" t="s">
        <v>14</v>
      </c>
      <c r="I16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93" s="90" t="s">
        <v>8724</v>
      </c>
    </row>
    <row r="1694" spans="1:11">
      <c r="A1694" s="90" t="s">
        <v>7864</v>
      </c>
      <c r="B1694" s="90" t="s">
        <v>7865</v>
      </c>
      <c r="C1694" s="90" t="s">
        <v>8</v>
      </c>
      <c r="D1694" s="90" t="str">
        <f>VLOOKUP(Tabela1[[#This Row],[Origem]],'Perguntas 1 a 24'!$J$28:$K$34,2,FALSE)</f>
        <v>Nordeste</v>
      </c>
      <c r="E1694" s="90" t="s">
        <v>13033</v>
      </c>
      <c r="F1694" s="91">
        <v>46464</v>
      </c>
      <c r="G1694" s="92">
        <v>71160</v>
      </c>
      <c r="H1694" s="90" t="s">
        <v>7</v>
      </c>
      <c r="I16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94" s="90" t="s">
        <v>7865</v>
      </c>
    </row>
    <row r="1695" spans="1:11">
      <c r="A1695" s="90" t="s">
        <v>9697</v>
      </c>
      <c r="B1695" s="90" t="s">
        <v>9698</v>
      </c>
      <c r="C1695" s="90" t="s">
        <v>16</v>
      </c>
      <c r="D1695" s="90" t="str">
        <f>VLOOKUP(Tabela1[[#This Row],[Origem]],'Perguntas 1 a 24'!$J$28:$K$34,2,FALSE)</f>
        <v>Sudeste</v>
      </c>
      <c r="E1695" s="90" t="s">
        <v>13034</v>
      </c>
      <c r="F1695" s="91">
        <v>46465</v>
      </c>
      <c r="G1695" s="92">
        <v>66082</v>
      </c>
      <c r="H1695" s="90" t="s">
        <v>9</v>
      </c>
      <c r="I16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95" s="90" t="s">
        <v>9698</v>
      </c>
    </row>
    <row r="1696" spans="1:11">
      <c r="A1696" s="90" t="s">
        <v>5962</v>
      </c>
      <c r="B1696" s="90" t="s">
        <v>5963</v>
      </c>
      <c r="C1696" s="90" t="s">
        <v>16</v>
      </c>
      <c r="D1696" s="90" t="str">
        <f>VLOOKUP(Tabela1[[#This Row],[Origem]],'Perguntas 1 a 24'!$J$28:$K$34,2,FALSE)</f>
        <v>Sudeste</v>
      </c>
      <c r="E1696" s="90" t="s">
        <v>13035</v>
      </c>
      <c r="F1696" s="91">
        <v>46466</v>
      </c>
      <c r="G1696" s="92">
        <v>69852</v>
      </c>
      <c r="H1696" s="90" t="s">
        <v>14</v>
      </c>
      <c r="I16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96" s="90" t="s">
        <v>5963</v>
      </c>
    </row>
    <row r="1697" spans="1:11">
      <c r="A1697" s="90" t="s">
        <v>7380</v>
      </c>
      <c r="B1697" s="90" t="s">
        <v>7381</v>
      </c>
      <c r="C1697" s="90" t="s">
        <v>12</v>
      </c>
      <c r="D1697" s="90" t="str">
        <f>VLOOKUP(Tabela1[[#This Row],[Origem]],'Perguntas 1 a 24'!$J$28:$K$34,2,FALSE)</f>
        <v>Sudeste</v>
      </c>
      <c r="E1697" s="90" t="s">
        <v>13036</v>
      </c>
      <c r="F1697" s="91">
        <v>46466</v>
      </c>
      <c r="G1697" s="92">
        <v>42483</v>
      </c>
      <c r="H1697" s="90" t="s">
        <v>14</v>
      </c>
      <c r="I16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697" s="90" t="s">
        <v>7381</v>
      </c>
    </row>
    <row r="1698" spans="1:11">
      <c r="A1698" s="90" t="s">
        <v>6934</v>
      </c>
      <c r="B1698" s="90" t="s">
        <v>6935</v>
      </c>
      <c r="C1698" s="90" t="s">
        <v>15</v>
      </c>
      <c r="D1698" s="90" t="str">
        <f>VLOOKUP(Tabela1[[#This Row],[Origem]],'Perguntas 1 a 24'!$J$28:$K$34,2,FALSE)</f>
        <v>Sudeste</v>
      </c>
      <c r="E1698" s="90" t="s">
        <v>13037</v>
      </c>
      <c r="F1698" s="91">
        <v>46467</v>
      </c>
      <c r="G1698" s="92">
        <v>69174</v>
      </c>
      <c r="H1698" s="90" t="s">
        <v>14</v>
      </c>
      <c r="I16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98" s="90" t="s">
        <v>6935</v>
      </c>
    </row>
    <row r="1699" spans="1:11">
      <c r="A1699" s="90" t="s">
        <v>8593</v>
      </c>
      <c r="B1699" s="90" t="s">
        <v>8594</v>
      </c>
      <c r="C1699" s="90" t="s">
        <v>10</v>
      </c>
      <c r="D1699" s="90" t="str">
        <f>VLOOKUP(Tabela1[[#This Row],[Origem]],'Perguntas 1 a 24'!$J$28:$K$34,2,FALSE)</f>
        <v>Centro-Oeste</v>
      </c>
      <c r="E1699" s="90" t="s">
        <v>13038</v>
      </c>
      <c r="F1699" s="91">
        <v>46467</v>
      </c>
      <c r="G1699" s="92">
        <v>69300</v>
      </c>
      <c r="H1699" s="90" t="s">
        <v>14</v>
      </c>
      <c r="I16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699" s="90" t="s">
        <v>8594</v>
      </c>
    </row>
    <row r="1700" spans="1:11">
      <c r="A1700" s="90" t="s">
        <v>6452</v>
      </c>
      <c r="B1700" s="90" t="s">
        <v>6453</v>
      </c>
      <c r="C1700" s="90" t="s">
        <v>6</v>
      </c>
      <c r="D1700" s="90" t="str">
        <f>VLOOKUP(Tabela1[[#This Row],[Origem]],'Perguntas 1 a 24'!$J$28:$K$34,2,FALSE)</f>
        <v>Nordeste</v>
      </c>
      <c r="E1700" s="90" t="s">
        <v>13039</v>
      </c>
      <c r="F1700" s="91">
        <v>46468</v>
      </c>
      <c r="G1700" s="92">
        <v>91518</v>
      </c>
      <c r="H1700" s="90" t="s">
        <v>11</v>
      </c>
      <c r="I17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00" s="90" t="s">
        <v>6453</v>
      </c>
    </row>
    <row r="1701" spans="1:11">
      <c r="A1701" s="90" t="s">
        <v>7604</v>
      </c>
      <c r="B1701" s="90" t="s">
        <v>7605</v>
      </c>
      <c r="C1701" s="90" t="s">
        <v>12</v>
      </c>
      <c r="D1701" s="90" t="str">
        <f>VLOOKUP(Tabela1[[#This Row],[Origem]],'Perguntas 1 a 24'!$J$28:$K$34,2,FALSE)</f>
        <v>Sudeste</v>
      </c>
      <c r="E1701" s="90" t="s">
        <v>13040</v>
      </c>
      <c r="F1701" s="91">
        <v>46468</v>
      </c>
      <c r="G1701" s="92">
        <v>24031</v>
      </c>
      <c r="H1701" s="90" t="s">
        <v>11</v>
      </c>
      <c r="I17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01" s="90" t="s">
        <v>7605</v>
      </c>
    </row>
    <row r="1702" spans="1:11">
      <c r="A1702" s="90" t="s">
        <v>6692</v>
      </c>
      <c r="B1702" s="90" t="s">
        <v>6693</v>
      </c>
      <c r="C1702" s="90" t="s">
        <v>15</v>
      </c>
      <c r="D1702" s="90" t="str">
        <f>VLOOKUP(Tabela1[[#This Row],[Origem]],'Perguntas 1 a 24'!$J$28:$K$34,2,FALSE)</f>
        <v>Sudeste</v>
      </c>
      <c r="E1702" s="90" t="s">
        <v>13041</v>
      </c>
      <c r="F1702" s="91">
        <v>46469</v>
      </c>
      <c r="G1702" s="92">
        <v>103525</v>
      </c>
      <c r="H1702" s="90" t="s">
        <v>9</v>
      </c>
      <c r="I17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02" s="90" t="s">
        <v>6693</v>
      </c>
    </row>
    <row r="1703" spans="1:11">
      <c r="A1703" s="90" t="s">
        <v>8086</v>
      </c>
      <c r="B1703" s="90" t="s">
        <v>8087</v>
      </c>
      <c r="C1703" s="90" t="s">
        <v>12</v>
      </c>
      <c r="D1703" s="90" t="str">
        <f>VLOOKUP(Tabela1[[#This Row],[Origem]],'Perguntas 1 a 24'!$J$28:$K$34,2,FALSE)</f>
        <v>Sudeste</v>
      </c>
      <c r="E1703" s="90" t="s">
        <v>13042</v>
      </c>
      <c r="F1703" s="91">
        <v>46469</v>
      </c>
      <c r="G1703" s="92">
        <v>81868</v>
      </c>
      <c r="H1703" s="90" t="s">
        <v>14</v>
      </c>
      <c r="I17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03" s="90" t="s">
        <v>8087</v>
      </c>
    </row>
    <row r="1704" spans="1:11">
      <c r="A1704" s="90" t="s">
        <v>5236</v>
      </c>
      <c r="B1704" s="90" t="s">
        <v>5237</v>
      </c>
      <c r="C1704" s="90" t="s">
        <v>6</v>
      </c>
      <c r="D1704" s="90" t="str">
        <f>VLOOKUP(Tabela1[[#This Row],[Origem]],'Perguntas 1 a 24'!$J$28:$K$34,2,FALSE)</f>
        <v>Nordeste</v>
      </c>
      <c r="E1704" s="90" t="s">
        <v>13043</v>
      </c>
      <c r="F1704" s="91">
        <v>46471</v>
      </c>
      <c r="G1704" s="92">
        <v>20454</v>
      </c>
      <c r="H1704" s="90" t="s">
        <v>9</v>
      </c>
      <c r="I17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04" s="90" t="s">
        <v>5237</v>
      </c>
    </row>
    <row r="1705" spans="1:11">
      <c r="A1705" s="90" t="s">
        <v>8887</v>
      </c>
      <c r="B1705" s="90" t="s">
        <v>8888</v>
      </c>
      <c r="C1705" s="90" t="s">
        <v>10</v>
      </c>
      <c r="D1705" s="90" t="str">
        <f>VLOOKUP(Tabela1[[#This Row],[Origem]],'Perguntas 1 a 24'!$J$28:$K$34,2,FALSE)</f>
        <v>Centro-Oeste</v>
      </c>
      <c r="E1705" s="90" t="s">
        <v>13044</v>
      </c>
      <c r="F1705" s="91">
        <v>46471</v>
      </c>
      <c r="G1705" s="92">
        <v>94090</v>
      </c>
      <c r="H1705" s="90" t="s">
        <v>11</v>
      </c>
      <c r="I17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05" s="90" t="s">
        <v>8888</v>
      </c>
    </row>
    <row r="1706" spans="1:11">
      <c r="A1706" s="90" t="s">
        <v>8194</v>
      </c>
      <c r="B1706" s="90" t="s">
        <v>8195</v>
      </c>
      <c r="C1706" s="90" t="s">
        <v>15</v>
      </c>
      <c r="D1706" s="90" t="str">
        <f>VLOOKUP(Tabela1[[#This Row],[Origem]],'Perguntas 1 a 24'!$J$28:$K$34,2,FALSE)</f>
        <v>Sudeste</v>
      </c>
      <c r="E1706" s="90" t="s">
        <v>13045</v>
      </c>
      <c r="F1706" s="91">
        <v>46472</v>
      </c>
      <c r="G1706" s="92">
        <v>22347</v>
      </c>
      <c r="H1706" s="90" t="s">
        <v>9</v>
      </c>
      <c r="I17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06" s="90" t="s">
        <v>8195</v>
      </c>
    </row>
    <row r="1707" spans="1:11">
      <c r="A1707" s="90" t="s">
        <v>4544</v>
      </c>
      <c r="B1707" s="90" t="s">
        <v>4545</v>
      </c>
      <c r="C1707" s="90" t="s">
        <v>6</v>
      </c>
      <c r="D1707" s="90" t="str">
        <f>VLOOKUP(Tabela1[[#This Row],[Origem]],'Perguntas 1 a 24'!$J$28:$K$34,2,FALSE)</f>
        <v>Nordeste</v>
      </c>
      <c r="E1707" s="90" t="s">
        <v>13046</v>
      </c>
      <c r="F1707" s="91">
        <v>46475</v>
      </c>
      <c r="G1707" s="92">
        <v>99233</v>
      </c>
      <c r="H1707" s="90" t="s">
        <v>14</v>
      </c>
      <c r="I17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07" s="90" t="s">
        <v>4545</v>
      </c>
    </row>
    <row r="1708" spans="1:11">
      <c r="A1708" s="90" t="s">
        <v>5930</v>
      </c>
      <c r="B1708" s="90" t="s">
        <v>5931</v>
      </c>
      <c r="C1708" s="90" t="s">
        <v>10</v>
      </c>
      <c r="D1708" s="90" t="str">
        <f>VLOOKUP(Tabela1[[#This Row],[Origem]],'Perguntas 1 a 24'!$J$28:$K$34,2,FALSE)</f>
        <v>Centro-Oeste</v>
      </c>
      <c r="E1708" s="90" t="s">
        <v>13047</v>
      </c>
      <c r="F1708" s="91">
        <v>46475</v>
      </c>
      <c r="G1708" s="92">
        <v>94547</v>
      </c>
      <c r="H1708" s="90" t="s">
        <v>9</v>
      </c>
      <c r="I17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08" s="90" t="s">
        <v>5931</v>
      </c>
    </row>
    <row r="1709" spans="1:11">
      <c r="A1709" s="90" t="s">
        <v>10593</v>
      </c>
      <c r="B1709" s="90" t="s">
        <v>10594</v>
      </c>
      <c r="C1709" s="90" t="s">
        <v>13</v>
      </c>
      <c r="D1709" s="90" t="str">
        <f>VLOOKUP(Tabela1[[#This Row],[Origem]],'Perguntas 1 a 24'!$J$28:$K$34,2,FALSE)</f>
        <v>Sudeste</v>
      </c>
      <c r="E1709" s="90" t="s">
        <v>13048</v>
      </c>
      <c r="F1709" s="91">
        <v>46475</v>
      </c>
      <c r="G1709" s="92">
        <v>116456</v>
      </c>
      <c r="H1709" s="90" t="s">
        <v>14</v>
      </c>
      <c r="I17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09" s="90" t="s">
        <v>10594</v>
      </c>
    </row>
    <row r="1710" spans="1:11">
      <c r="A1710" s="90" t="s">
        <v>9227</v>
      </c>
      <c r="B1710" s="90" t="s">
        <v>9228</v>
      </c>
      <c r="C1710" s="90" t="s">
        <v>12</v>
      </c>
      <c r="D1710" s="90" t="str">
        <f>VLOOKUP(Tabela1[[#This Row],[Origem]],'Perguntas 1 a 24'!$J$28:$K$34,2,FALSE)</f>
        <v>Sudeste</v>
      </c>
      <c r="E1710" s="90" t="s">
        <v>13049</v>
      </c>
      <c r="F1710" s="91">
        <v>46476</v>
      </c>
      <c r="G1710" s="92">
        <v>106727</v>
      </c>
      <c r="H1710" s="90" t="s">
        <v>11</v>
      </c>
      <c r="I17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10" s="90" t="s">
        <v>9228</v>
      </c>
    </row>
    <row r="1711" spans="1:11">
      <c r="A1711" s="90" t="s">
        <v>9669</v>
      </c>
      <c r="B1711" s="90" t="s">
        <v>9670</v>
      </c>
      <c r="C1711" s="90" t="s">
        <v>12</v>
      </c>
      <c r="D1711" s="90" t="str">
        <f>VLOOKUP(Tabela1[[#This Row],[Origem]],'Perguntas 1 a 24'!$J$28:$K$34,2,FALSE)</f>
        <v>Sudeste</v>
      </c>
      <c r="E1711" s="90" t="s">
        <v>13050</v>
      </c>
      <c r="F1711" s="91">
        <v>46476</v>
      </c>
      <c r="G1711" s="92">
        <v>113925</v>
      </c>
      <c r="H1711" s="90" t="s">
        <v>7</v>
      </c>
      <c r="I17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11" s="90" t="s">
        <v>9670</v>
      </c>
    </row>
    <row r="1712" spans="1:11">
      <c r="A1712" s="90" t="s">
        <v>10019</v>
      </c>
      <c r="B1712" s="90" t="s">
        <v>10020</v>
      </c>
      <c r="C1712" s="90" t="s">
        <v>13</v>
      </c>
      <c r="D1712" s="90" t="str">
        <f>VLOOKUP(Tabela1[[#This Row],[Origem]],'Perguntas 1 a 24'!$J$28:$K$34,2,FALSE)</f>
        <v>Sudeste</v>
      </c>
      <c r="E1712" s="90" t="s">
        <v>13051</v>
      </c>
      <c r="F1712" s="91">
        <v>46477</v>
      </c>
      <c r="G1712" s="92">
        <v>57600</v>
      </c>
      <c r="H1712" s="90" t="s">
        <v>7</v>
      </c>
      <c r="I17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12" s="90" t="s">
        <v>10020</v>
      </c>
    </row>
    <row r="1713" spans="1:11">
      <c r="A1713" s="90" t="s">
        <v>5900</v>
      </c>
      <c r="B1713" s="90" t="s">
        <v>5901</v>
      </c>
      <c r="C1713" s="90" t="s">
        <v>6</v>
      </c>
      <c r="D1713" s="90" t="str">
        <f>VLOOKUP(Tabela1[[#This Row],[Origem]],'Perguntas 1 a 24'!$J$28:$K$34,2,FALSE)</f>
        <v>Nordeste</v>
      </c>
      <c r="E1713" s="90" t="s">
        <v>13052</v>
      </c>
      <c r="F1713" s="91">
        <v>46478</v>
      </c>
      <c r="G1713" s="92">
        <v>57211</v>
      </c>
      <c r="H1713" s="90" t="s">
        <v>7</v>
      </c>
      <c r="I17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13" s="90" t="s">
        <v>5901</v>
      </c>
    </row>
    <row r="1714" spans="1:11">
      <c r="A1714" s="90" t="s">
        <v>4618</v>
      </c>
      <c r="B1714" s="90" t="s">
        <v>4619</v>
      </c>
      <c r="C1714" s="90" t="s">
        <v>12</v>
      </c>
      <c r="D1714" s="90" t="str">
        <f>VLOOKUP(Tabela1[[#This Row],[Origem]],'Perguntas 1 a 24'!$J$28:$K$34,2,FALSE)</f>
        <v>Sudeste</v>
      </c>
      <c r="E1714" s="90" t="s">
        <v>13053</v>
      </c>
      <c r="F1714" s="91">
        <v>46479</v>
      </c>
      <c r="G1714" s="92">
        <v>45123</v>
      </c>
      <c r="H1714" s="90" t="s">
        <v>9</v>
      </c>
      <c r="I17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14" s="90" t="s">
        <v>4619</v>
      </c>
    </row>
    <row r="1715" spans="1:11">
      <c r="A1715" s="90" t="s">
        <v>8272</v>
      </c>
      <c r="B1715" s="90" t="s">
        <v>8273</v>
      </c>
      <c r="C1715" s="90" t="s">
        <v>13</v>
      </c>
      <c r="D1715" s="90" t="str">
        <f>VLOOKUP(Tabela1[[#This Row],[Origem]],'Perguntas 1 a 24'!$J$28:$K$34,2,FALSE)</f>
        <v>Sudeste</v>
      </c>
      <c r="E1715" s="90" t="s">
        <v>13054</v>
      </c>
      <c r="F1715" s="91">
        <v>46479</v>
      </c>
      <c r="G1715" s="92">
        <v>95220</v>
      </c>
      <c r="H1715" s="90" t="s">
        <v>11</v>
      </c>
      <c r="I17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15" s="90" t="s">
        <v>8273</v>
      </c>
    </row>
    <row r="1716" spans="1:11">
      <c r="A1716" s="90" t="s">
        <v>5432</v>
      </c>
      <c r="B1716" s="90" t="s">
        <v>5433</v>
      </c>
      <c r="C1716" s="90" t="s">
        <v>10</v>
      </c>
      <c r="D1716" s="90" t="str">
        <f>VLOOKUP(Tabela1[[#This Row],[Origem]],'Perguntas 1 a 24'!$J$28:$K$34,2,FALSE)</f>
        <v>Centro-Oeste</v>
      </c>
      <c r="E1716" s="90" t="s">
        <v>13055</v>
      </c>
      <c r="F1716" s="91">
        <v>46480</v>
      </c>
      <c r="G1716" s="92">
        <v>81517</v>
      </c>
      <c r="H1716" s="90" t="s">
        <v>7</v>
      </c>
      <c r="I17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16" s="90" t="s">
        <v>5433</v>
      </c>
    </row>
    <row r="1717" spans="1:11">
      <c r="A1717" s="90" t="s">
        <v>8522</v>
      </c>
      <c r="B1717" s="90" t="s">
        <v>8523</v>
      </c>
      <c r="C1717" s="90" t="s">
        <v>8</v>
      </c>
      <c r="D1717" s="90" t="str">
        <f>VLOOKUP(Tabela1[[#This Row],[Origem]],'Perguntas 1 a 24'!$J$28:$K$34,2,FALSE)</f>
        <v>Nordeste</v>
      </c>
      <c r="E1717" s="90" t="s">
        <v>13056</v>
      </c>
      <c r="F1717" s="91">
        <v>46480</v>
      </c>
      <c r="G1717" s="92">
        <v>47303</v>
      </c>
      <c r="H1717" s="90" t="s">
        <v>11</v>
      </c>
      <c r="I17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17" s="90" t="s">
        <v>8523</v>
      </c>
    </row>
    <row r="1718" spans="1:11">
      <c r="A1718" s="90" t="s">
        <v>8096</v>
      </c>
      <c r="B1718" s="90" t="s">
        <v>8097</v>
      </c>
      <c r="C1718" s="90" t="s">
        <v>8</v>
      </c>
      <c r="D1718" s="90" t="str">
        <f>VLOOKUP(Tabela1[[#This Row],[Origem]],'Perguntas 1 a 24'!$J$28:$K$34,2,FALSE)</f>
        <v>Nordeste</v>
      </c>
      <c r="E1718" s="90" t="s">
        <v>13057</v>
      </c>
      <c r="F1718" s="91">
        <v>46481</v>
      </c>
      <c r="G1718" s="92">
        <v>50929</v>
      </c>
      <c r="H1718" s="90" t="s">
        <v>14</v>
      </c>
      <c r="I17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18" s="90" t="s">
        <v>8097</v>
      </c>
    </row>
    <row r="1719" spans="1:11">
      <c r="A1719" s="90" t="s">
        <v>9293</v>
      </c>
      <c r="B1719" s="90" t="s">
        <v>9294</v>
      </c>
      <c r="C1719" s="90" t="s">
        <v>16</v>
      </c>
      <c r="D1719" s="90" t="str">
        <f>VLOOKUP(Tabela1[[#This Row],[Origem]],'Perguntas 1 a 24'!$J$28:$K$34,2,FALSE)</f>
        <v>Sudeste</v>
      </c>
      <c r="E1719" s="90" t="s">
        <v>13058</v>
      </c>
      <c r="F1719" s="91">
        <v>46481</v>
      </c>
      <c r="G1719" s="92">
        <v>85891</v>
      </c>
      <c r="H1719" s="90" t="s">
        <v>9</v>
      </c>
      <c r="I17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19" s="90" t="s">
        <v>9294</v>
      </c>
    </row>
    <row r="1720" spans="1:11">
      <c r="A1720" s="90" t="s">
        <v>5382</v>
      </c>
      <c r="B1720" s="90" t="s">
        <v>5383</v>
      </c>
      <c r="C1720" s="90" t="s">
        <v>12</v>
      </c>
      <c r="D1720" s="90" t="str">
        <f>VLOOKUP(Tabela1[[#This Row],[Origem]],'Perguntas 1 a 24'!$J$28:$K$34,2,FALSE)</f>
        <v>Sudeste</v>
      </c>
      <c r="E1720" s="90" t="s">
        <v>13059</v>
      </c>
      <c r="F1720" s="91">
        <v>46482</v>
      </c>
      <c r="G1720" s="92">
        <v>51590</v>
      </c>
      <c r="H1720" s="90" t="s">
        <v>9</v>
      </c>
      <c r="I17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20" s="90" t="s">
        <v>5383</v>
      </c>
    </row>
    <row r="1721" spans="1:11">
      <c r="A1721" s="90" t="s">
        <v>6920</v>
      </c>
      <c r="B1721" s="90" t="s">
        <v>6921</v>
      </c>
      <c r="C1721" s="90" t="s">
        <v>13</v>
      </c>
      <c r="D1721" s="90" t="str">
        <f>VLOOKUP(Tabela1[[#This Row],[Origem]],'Perguntas 1 a 24'!$J$28:$K$34,2,FALSE)</f>
        <v>Sudeste</v>
      </c>
      <c r="E1721" s="90" t="s">
        <v>13060</v>
      </c>
      <c r="F1721" s="91">
        <v>46485</v>
      </c>
      <c r="G1721" s="92">
        <v>80708</v>
      </c>
      <c r="H1721" s="90" t="s">
        <v>7</v>
      </c>
      <c r="I17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21" s="90" t="s">
        <v>6921</v>
      </c>
    </row>
    <row r="1722" spans="1:11">
      <c r="A1722" s="90" t="s">
        <v>7782</v>
      </c>
      <c r="B1722" s="90" t="s">
        <v>7783</v>
      </c>
      <c r="C1722" s="90" t="s">
        <v>15</v>
      </c>
      <c r="D1722" s="90" t="str">
        <f>VLOOKUP(Tabela1[[#This Row],[Origem]],'Perguntas 1 a 24'!$J$28:$K$34,2,FALSE)</f>
        <v>Sudeste</v>
      </c>
      <c r="E1722" s="90" t="s">
        <v>13061</v>
      </c>
      <c r="F1722" s="91">
        <v>46485</v>
      </c>
      <c r="G1722" s="92">
        <v>94685</v>
      </c>
      <c r="H1722" s="90" t="s">
        <v>14</v>
      </c>
      <c r="I17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22" s="90" t="s">
        <v>7783</v>
      </c>
    </row>
    <row r="1723" spans="1:11">
      <c r="A1723" s="90" t="s">
        <v>5708</v>
      </c>
      <c r="B1723" s="90" t="s">
        <v>5709</v>
      </c>
      <c r="C1723" s="90" t="s">
        <v>10</v>
      </c>
      <c r="D1723" s="90" t="str">
        <f>VLOOKUP(Tabela1[[#This Row],[Origem]],'Perguntas 1 a 24'!$J$28:$K$34,2,FALSE)</f>
        <v>Centro-Oeste</v>
      </c>
      <c r="E1723" s="90" t="s">
        <v>13062</v>
      </c>
      <c r="F1723" s="91">
        <v>46486</v>
      </c>
      <c r="G1723" s="92">
        <v>26679</v>
      </c>
      <c r="H1723" s="90" t="s">
        <v>9</v>
      </c>
      <c r="I17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23" s="90" t="s">
        <v>5709</v>
      </c>
    </row>
    <row r="1724" spans="1:11">
      <c r="A1724" s="90" t="s">
        <v>7460</v>
      </c>
      <c r="B1724" s="90" t="s">
        <v>7461</v>
      </c>
      <c r="C1724" s="90" t="s">
        <v>8</v>
      </c>
      <c r="D1724" s="90" t="str">
        <f>VLOOKUP(Tabela1[[#This Row],[Origem]],'Perguntas 1 a 24'!$J$28:$K$34,2,FALSE)</f>
        <v>Nordeste</v>
      </c>
      <c r="E1724" s="90" t="s">
        <v>13063</v>
      </c>
      <c r="F1724" s="91">
        <v>46486</v>
      </c>
      <c r="G1724" s="92">
        <v>100446</v>
      </c>
      <c r="H1724" s="90" t="s">
        <v>14</v>
      </c>
      <c r="I17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24" s="90" t="s">
        <v>7461</v>
      </c>
    </row>
    <row r="1725" spans="1:11">
      <c r="A1725" s="90" t="s">
        <v>8342</v>
      </c>
      <c r="B1725" s="90" t="s">
        <v>8343</v>
      </c>
      <c r="C1725" s="90" t="s">
        <v>10</v>
      </c>
      <c r="D1725" s="90" t="str">
        <f>VLOOKUP(Tabela1[[#This Row],[Origem]],'Perguntas 1 a 24'!$J$28:$K$34,2,FALSE)</f>
        <v>Centro-Oeste</v>
      </c>
      <c r="E1725" s="90" t="s">
        <v>13064</v>
      </c>
      <c r="F1725" s="91">
        <v>46486</v>
      </c>
      <c r="G1725" s="92">
        <v>74250</v>
      </c>
      <c r="H1725" s="90" t="s">
        <v>11</v>
      </c>
      <c r="I17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25" s="90" t="s">
        <v>8343</v>
      </c>
    </row>
    <row r="1726" spans="1:11">
      <c r="A1726" s="90" t="s">
        <v>10655</v>
      </c>
      <c r="B1726" s="90" t="s">
        <v>10656</v>
      </c>
      <c r="C1726" s="90" t="s">
        <v>12</v>
      </c>
      <c r="D1726" s="90" t="str">
        <f>VLOOKUP(Tabela1[[#This Row],[Origem]],'Perguntas 1 a 24'!$J$28:$K$34,2,FALSE)</f>
        <v>Sudeste</v>
      </c>
      <c r="E1726" s="90" t="s">
        <v>13065</v>
      </c>
      <c r="F1726" s="91">
        <v>46487</v>
      </c>
      <c r="G1726" s="92">
        <v>83236</v>
      </c>
      <c r="H1726" s="90" t="s">
        <v>7</v>
      </c>
      <c r="I17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26" s="90" t="s">
        <v>10656</v>
      </c>
    </row>
    <row r="1727" spans="1:11">
      <c r="A1727" s="90" t="s">
        <v>9781</v>
      </c>
      <c r="B1727" s="90" t="s">
        <v>9782</v>
      </c>
      <c r="C1727" s="90" t="s">
        <v>15</v>
      </c>
      <c r="D1727" s="90" t="str">
        <f>VLOOKUP(Tabela1[[#This Row],[Origem]],'Perguntas 1 a 24'!$J$28:$K$34,2,FALSE)</f>
        <v>Sudeste</v>
      </c>
      <c r="E1727" s="90" t="s">
        <v>13066</v>
      </c>
      <c r="F1727" s="91">
        <v>46488</v>
      </c>
      <c r="G1727" s="92">
        <v>118259</v>
      </c>
      <c r="H1727" s="90" t="s">
        <v>11</v>
      </c>
      <c r="I17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27" s="90" t="s">
        <v>9782</v>
      </c>
    </row>
    <row r="1728" spans="1:11">
      <c r="A1728" s="90" t="s">
        <v>11217</v>
      </c>
      <c r="B1728" s="90" t="s">
        <v>11218</v>
      </c>
      <c r="C1728" s="90" t="s">
        <v>13</v>
      </c>
      <c r="D1728" s="90" t="str">
        <f>VLOOKUP(Tabela1[[#This Row],[Origem]],'Perguntas 1 a 24'!$J$28:$K$34,2,FALSE)</f>
        <v>Sudeste</v>
      </c>
      <c r="E1728" s="90" t="s">
        <v>13067</v>
      </c>
      <c r="F1728" s="91">
        <v>46488</v>
      </c>
      <c r="G1728" s="92">
        <v>115961</v>
      </c>
      <c r="H1728" s="90" t="s">
        <v>7</v>
      </c>
      <c r="I17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28" s="90" t="s">
        <v>11218</v>
      </c>
    </row>
    <row r="1729" spans="1:11">
      <c r="A1729" s="90" t="s">
        <v>5230</v>
      </c>
      <c r="B1729" s="90" t="s">
        <v>5231</v>
      </c>
      <c r="C1729" s="90" t="s">
        <v>12</v>
      </c>
      <c r="D1729" s="90" t="str">
        <f>VLOOKUP(Tabela1[[#This Row],[Origem]],'Perguntas 1 a 24'!$J$28:$K$34,2,FALSE)</f>
        <v>Sudeste</v>
      </c>
      <c r="E1729" s="90" t="s">
        <v>13068</v>
      </c>
      <c r="F1729" s="91">
        <v>46490</v>
      </c>
      <c r="G1729" s="92">
        <v>39609</v>
      </c>
      <c r="H1729" s="90" t="s">
        <v>11</v>
      </c>
      <c r="I17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29" s="90" t="s">
        <v>5231</v>
      </c>
    </row>
    <row r="1730" spans="1:11">
      <c r="A1730" s="90" t="s">
        <v>8408</v>
      </c>
      <c r="B1730" s="90" t="s">
        <v>8409</v>
      </c>
      <c r="C1730" s="90" t="s">
        <v>16</v>
      </c>
      <c r="D1730" s="90" t="str">
        <f>VLOOKUP(Tabela1[[#This Row],[Origem]],'Perguntas 1 a 24'!$J$28:$K$34,2,FALSE)</f>
        <v>Sudeste</v>
      </c>
      <c r="E1730" s="90" t="s">
        <v>13069</v>
      </c>
      <c r="F1730" s="91">
        <v>46490</v>
      </c>
      <c r="G1730" s="92">
        <v>58510</v>
      </c>
      <c r="H1730" s="90" t="s">
        <v>9</v>
      </c>
      <c r="I17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30" s="90" t="s">
        <v>8409</v>
      </c>
    </row>
    <row r="1731" spans="1:11">
      <c r="A1731" s="90" t="s">
        <v>10982</v>
      </c>
      <c r="B1731" s="90" t="s">
        <v>10983</v>
      </c>
      <c r="C1731" s="90" t="s">
        <v>13</v>
      </c>
      <c r="D1731" s="90" t="str">
        <f>VLOOKUP(Tabela1[[#This Row],[Origem]],'Perguntas 1 a 24'!$J$28:$K$34,2,FALSE)</f>
        <v>Sudeste</v>
      </c>
      <c r="E1731" s="90" t="s">
        <v>13070</v>
      </c>
      <c r="F1731" s="91">
        <v>46490</v>
      </c>
      <c r="G1731" s="92">
        <v>34858</v>
      </c>
      <c r="H1731" s="90" t="s">
        <v>7</v>
      </c>
      <c r="I17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31" s="90" t="s">
        <v>10983</v>
      </c>
    </row>
    <row r="1732" spans="1:11">
      <c r="A1732" s="90" t="s">
        <v>9849</v>
      </c>
      <c r="B1732" s="90" t="s">
        <v>9850</v>
      </c>
      <c r="C1732" s="90" t="s">
        <v>15</v>
      </c>
      <c r="D1732" s="90" t="str">
        <f>VLOOKUP(Tabela1[[#This Row],[Origem]],'Perguntas 1 a 24'!$J$28:$K$34,2,FALSE)</f>
        <v>Sudeste</v>
      </c>
      <c r="E1732" s="90" t="s">
        <v>13071</v>
      </c>
      <c r="F1732" s="91">
        <v>46491</v>
      </c>
      <c r="G1732" s="92">
        <v>106089</v>
      </c>
      <c r="H1732" s="90" t="s">
        <v>7</v>
      </c>
      <c r="I17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32" s="90" t="s">
        <v>9850</v>
      </c>
    </row>
    <row r="1733" spans="1:11">
      <c r="A1733" s="90" t="s">
        <v>7980</v>
      </c>
      <c r="B1733" s="90" t="s">
        <v>7981</v>
      </c>
      <c r="C1733" s="90" t="s">
        <v>13</v>
      </c>
      <c r="D1733" s="90" t="str">
        <f>VLOOKUP(Tabela1[[#This Row],[Origem]],'Perguntas 1 a 24'!$J$28:$K$34,2,FALSE)</f>
        <v>Sudeste</v>
      </c>
      <c r="E1733" s="90" t="s">
        <v>13072</v>
      </c>
      <c r="F1733" s="91">
        <v>46492</v>
      </c>
      <c r="G1733" s="92">
        <v>42878</v>
      </c>
      <c r="H1733" s="90" t="s">
        <v>7</v>
      </c>
      <c r="I17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33" s="90" t="s">
        <v>7981</v>
      </c>
    </row>
    <row r="1734" spans="1:11">
      <c r="A1734" s="90" t="s">
        <v>4702</v>
      </c>
      <c r="B1734" s="90" t="s">
        <v>4703</v>
      </c>
      <c r="C1734" s="90" t="s">
        <v>8</v>
      </c>
      <c r="D1734" s="90" t="str">
        <f>VLOOKUP(Tabela1[[#This Row],[Origem]],'Perguntas 1 a 24'!$J$28:$K$34,2,FALSE)</f>
        <v>Nordeste</v>
      </c>
      <c r="E1734" s="90" t="s">
        <v>13073</v>
      </c>
      <c r="F1734" s="91">
        <v>46494</v>
      </c>
      <c r="G1734" s="92">
        <v>90429</v>
      </c>
      <c r="H1734" s="90" t="s">
        <v>7</v>
      </c>
      <c r="I17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34" s="90" t="s">
        <v>4703</v>
      </c>
    </row>
    <row r="1735" spans="1:11">
      <c r="A1735" s="90" t="s">
        <v>10637</v>
      </c>
      <c r="B1735" s="90" t="s">
        <v>10638</v>
      </c>
      <c r="C1735" s="90" t="s">
        <v>10</v>
      </c>
      <c r="D1735" s="90" t="str">
        <f>VLOOKUP(Tabela1[[#This Row],[Origem]],'Perguntas 1 a 24'!$J$28:$K$34,2,FALSE)</f>
        <v>Centro-Oeste</v>
      </c>
      <c r="E1735" s="90" t="s">
        <v>13074</v>
      </c>
      <c r="F1735" s="91">
        <v>46494</v>
      </c>
      <c r="G1735" s="92">
        <v>70158</v>
      </c>
      <c r="H1735" s="90" t="s">
        <v>11</v>
      </c>
      <c r="I17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35" s="90" t="s">
        <v>10638</v>
      </c>
    </row>
    <row r="1736" spans="1:11">
      <c r="A1736" s="90" t="s">
        <v>10937</v>
      </c>
      <c r="B1736" s="90" t="s">
        <v>10938</v>
      </c>
      <c r="C1736" s="90" t="s">
        <v>8</v>
      </c>
      <c r="D1736" s="90" t="str">
        <f>VLOOKUP(Tabela1[[#This Row],[Origem]],'Perguntas 1 a 24'!$J$28:$K$34,2,FALSE)</f>
        <v>Nordeste</v>
      </c>
      <c r="E1736" s="90" t="s">
        <v>13075</v>
      </c>
      <c r="F1736" s="91">
        <v>46494</v>
      </c>
      <c r="G1736" s="92">
        <v>59199</v>
      </c>
      <c r="H1736" s="90" t="s">
        <v>9</v>
      </c>
      <c r="I17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36" s="90" t="s">
        <v>10938</v>
      </c>
    </row>
    <row r="1737" spans="1:11">
      <c r="A1737" s="90" t="s">
        <v>4052</v>
      </c>
      <c r="B1737" s="90" t="s">
        <v>4053</v>
      </c>
      <c r="C1737" s="90" t="s">
        <v>10</v>
      </c>
      <c r="D1737" s="90" t="str">
        <f>VLOOKUP(Tabela1[[#This Row],[Origem]],'Perguntas 1 a 24'!$J$28:$K$34,2,FALSE)</f>
        <v>Centro-Oeste</v>
      </c>
      <c r="E1737" s="90" t="s">
        <v>13076</v>
      </c>
      <c r="F1737" s="91">
        <v>46495</v>
      </c>
      <c r="G1737" s="92">
        <v>25703</v>
      </c>
      <c r="H1737" s="90" t="s">
        <v>9</v>
      </c>
      <c r="I17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37" s="90" t="s">
        <v>4053</v>
      </c>
    </row>
    <row r="1738" spans="1:11">
      <c r="A1738" s="90" t="s">
        <v>7634</v>
      </c>
      <c r="B1738" s="90" t="s">
        <v>7635</v>
      </c>
      <c r="C1738" s="90" t="s">
        <v>8</v>
      </c>
      <c r="D1738" s="90" t="str">
        <f>VLOOKUP(Tabela1[[#This Row],[Origem]],'Perguntas 1 a 24'!$J$28:$K$34,2,FALSE)</f>
        <v>Nordeste</v>
      </c>
      <c r="E1738" s="90" t="s">
        <v>13077</v>
      </c>
      <c r="F1738" s="91">
        <v>46495</v>
      </c>
      <c r="G1738" s="92">
        <v>69611</v>
      </c>
      <c r="H1738" s="90" t="s">
        <v>7</v>
      </c>
      <c r="I17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38" s="90" t="s">
        <v>7635</v>
      </c>
    </row>
    <row r="1739" spans="1:11">
      <c r="A1739" s="90" t="s">
        <v>9027</v>
      </c>
      <c r="B1739" s="90" t="s">
        <v>9028</v>
      </c>
      <c r="C1739" s="90" t="s">
        <v>8</v>
      </c>
      <c r="D1739" s="90" t="str">
        <f>VLOOKUP(Tabela1[[#This Row],[Origem]],'Perguntas 1 a 24'!$J$28:$K$34,2,FALSE)</f>
        <v>Nordeste</v>
      </c>
      <c r="E1739" s="90" t="s">
        <v>13078</v>
      </c>
      <c r="F1739" s="91">
        <v>46495</v>
      </c>
      <c r="G1739" s="92">
        <v>22718</v>
      </c>
      <c r="H1739" s="90" t="s">
        <v>11</v>
      </c>
      <c r="I17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39" s="90" t="s">
        <v>9028</v>
      </c>
    </row>
    <row r="1740" spans="1:11">
      <c r="A1740" s="90" t="s">
        <v>10195</v>
      </c>
      <c r="B1740" s="90" t="s">
        <v>10196</v>
      </c>
      <c r="C1740" s="90" t="s">
        <v>16</v>
      </c>
      <c r="D1740" s="90" t="str">
        <f>VLOOKUP(Tabela1[[#This Row],[Origem]],'Perguntas 1 a 24'!$J$28:$K$34,2,FALSE)</f>
        <v>Sudeste</v>
      </c>
      <c r="E1740" s="90" t="s">
        <v>13079</v>
      </c>
      <c r="F1740" s="91">
        <v>46495</v>
      </c>
      <c r="G1740" s="92">
        <v>62752</v>
      </c>
      <c r="H1740" s="90" t="s">
        <v>11</v>
      </c>
      <c r="I17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0" s="90" t="s">
        <v>10196</v>
      </c>
    </row>
    <row r="1741" spans="1:11">
      <c r="A1741" s="90" t="s">
        <v>7504</v>
      </c>
      <c r="B1741" s="90" t="s">
        <v>7505</v>
      </c>
      <c r="C1741" s="90" t="s">
        <v>6</v>
      </c>
      <c r="D1741" s="90" t="str">
        <f>VLOOKUP(Tabela1[[#This Row],[Origem]],'Perguntas 1 a 24'!$J$28:$K$34,2,FALSE)</f>
        <v>Nordeste</v>
      </c>
      <c r="E1741" s="90" t="s">
        <v>13080</v>
      </c>
      <c r="F1741" s="91">
        <v>46496</v>
      </c>
      <c r="G1741" s="92">
        <v>94313</v>
      </c>
      <c r="H1741" s="90" t="s">
        <v>9</v>
      </c>
      <c r="I17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1" s="90" t="s">
        <v>7505</v>
      </c>
    </row>
    <row r="1742" spans="1:11">
      <c r="A1742" s="90" t="s">
        <v>4261</v>
      </c>
      <c r="B1742" s="90" t="s">
        <v>4262</v>
      </c>
      <c r="C1742" s="90" t="s">
        <v>12</v>
      </c>
      <c r="D1742" s="90" t="str">
        <f>VLOOKUP(Tabela1[[#This Row],[Origem]],'Perguntas 1 a 24'!$J$28:$K$34,2,FALSE)</f>
        <v>Sudeste</v>
      </c>
      <c r="E1742" s="90" t="s">
        <v>13081</v>
      </c>
      <c r="F1742" s="91">
        <v>46497</v>
      </c>
      <c r="G1742" s="92">
        <v>99152</v>
      </c>
      <c r="H1742" s="90" t="s">
        <v>9</v>
      </c>
      <c r="I17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2" s="90" t="s">
        <v>4262</v>
      </c>
    </row>
    <row r="1743" spans="1:11">
      <c r="A1743" s="90" t="s">
        <v>8957</v>
      </c>
      <c r="B1743" s="90" t="s">
        <v>8958</v>
      </c>
      <c r="C1743" s="90" t="s">
        <v>12</v>
      </c>
      <c r="D1743" s="90" t="str">
        <f>VLOOKUP(Tabela1[[#This Row],[Origem]],'Perguntas 1 a 24'!$J$28:$K$34,2,FALSE)</f>
        <v>Sudeste</v>
      </c>
      <c r="E1743" s="90" t="s">
        <v>13082</v>
      </c>
      <c r="F1743" s="91">
        <v>46497</v>
      </c>
      <c r="G1743" s="92">
        <v>81954</v>
      </c>
      <c r="H1743" s="90" t="s">
        <v>11</v>
      </c>
      <c r="I17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3" s="90" t="s">
        <v>8958</v>
      </c>
    </row>
    <row r="1744" spans="1:11">
      <c r="A1744" s="90" t="s">
        <v>10531</v>
      </c>
      <c r="B1744" s="90" t="s">
        <v>10532</v>
      </c>
      <c r="C1744" s="90" t="s">
        <v>16</v>
      </c>
      <c r="D1744" s="90" t="str">
        <f>VLOOKUP(Tabela1[[#This Row],[Origem]],'Perguntas 1 a 24'!$J$28:$K$34,2,FALSE)</f>
        <v>Sudeste</v>
      </c>
      <c r="E1744" s="90" t="s">
        <v>13083</v>
      </c>
      <c r="F1744" s="91">
        <v>46498</v>
      </c>
      <c r="G1744" s="92">
        <v>118307</v>
      </c>
      <c r="H1744" s="90" t="s">
        <v>11</v>
      </c>
      <c r="I17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4" s="90" t="s">
        <v>10532</v>
      </c>
    </row>
    <row r="1745" spans="1:11">
      <c r="A1745" s="90" t="s">
        <v>7160</v>
      </c>
      <c r="B1745" s="90" t="s">
        <v>7161</v>
      </c>
      <c r="C1745" s="90" t="s">
        <v>16</v>
      </c>
      <c r="D1745" s="90" t="str">
        <f>VLOOKUP(Tabela1[[#This Row],[Origem]],'Perguntas 1 a 24'!$J$28:$K$34,2,FALSE)</f>
        <v>Sudeste</v>
      </c>
      <c r="E1745" s="90" t="s">
        <v>13084</v>
      </c>
      <c r="F1745" s="91">
        <v>46499</v>
      </c>
      <c r="G1745" s="92">
        <v>98983</v>
      </c>
      <c r="H1745" s="90" t="s">
        <v>11</v>
      </c>
      <c r="I17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5" s="90" t="s">
        <v>7161</v>
      </c>
    </row>
    <row r="1746" spans="1:11">
      <c r="A1746" s="90" t="s">
        <v>8709</v>
      </c>
      <c r="B1746" s="90" t="s">
        <v>8710</v>
      </c>
      <c r="C1746" s="90" t="s">
        <v>16</v>
      </c>
      <c r="D1746" s="90" t="str">
        <f>VLOOKUP(Tabela1[[#This Row],[Origem]],'Perguntas 1 a 24'!$J$28:$K$34,2,FALSE)</f>
        <v>Sudeste</v>
      </c>
      <c r="E1746" s="90" t="s">
        <v>13085</v>
      </c>
      <c r="F1746" s="91">
        <v>46500</v>
      </c>
      <c r="G1746" s="92">
        <v>89074</v>
      </c>
      <c r="H1746" s="90" t="s">
        <v>9</v>
      </c>
      <c r="I17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6" s="90" t="s">
        <v>8710</v>
      </c>
    </row>
    <row r="1747" spans="1:11">
      <c r="A1747" s="90" t="s">
        <v>4032</v>
      </c>
      <c r="B1747" s="90" t="s">
        <v>4033</v>
      </c>
      <c r="C1747" s="90" t="s">
        <v>12</v>
      </c>
      <c r="D1747" s="90" t="str">
        <f>VLOOKUP(Tabela1[[#This Row],[Origem]],'Perguntas 1 a 24'!$J$28:$K$34,2,FALSE)</f>
        <v>Sudeste</v>
      </c>
      <c r="E1747" s="90" t="s">
        <v>13086</v>
      </c>
      <c r="F1747" s="91">
        <v>46501</v>
      </c>
      <c r="G1747" s="92">
        <v>60877</v>
      </c>
      <c r="H1747" s="90" t="s">
        <v>7</v>
      </c>
      <c r="I17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7" s="90" t="s">
        <v>4033</v>
      </c>
    </row>
    <row r="1748" spans="1:11">
      <c r="A1748" s="90" t="s">
        <v>4104</v>
      </c>
      <c r="B1748" s="90" t="s">
        <v>4105</v>
      </c>
      <c r="C1748" s="90" t="s">
        <v>15</v>
      </c>
      <c r="D1748" s="90" t="str">
        <f>VLOOKUP(Tabela1[[#This Row],[Origem]],'Perguntas 1 a 24'!$J$28:$K$34,2,FALSE)</f>
        <v>Sudeste</v>
      </c>
      <c r="E1748" s="90" t="s">
        <v>13087</v>
      </c>
      <c r="F1748" s="91">
        <v>46501</v>
      </c>
      <c r="G1748" s="92">
        <v>39565</v>
      </c>
      <c r="H1748" s="90" t="s">
        <v>7</v>
      </c>
      <c r="I17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48" s="90" t="s">
        <v>4105</v>
      </c>
    </row>
    <row r="1749" spans="1:11">
      <c r="A1749" s="90" t="s">
        <v>4744</v>
      </c>
      <c r="B1749" s="90" t="s">
        <v>4745</v>
      </c>
      <c r="C1749" s="90" t="s">
        <v>10</v>
      </c>
      <c r="D1749" s="90" t="str">
        <f>VLOOKUP(Tabela1[[#This Row],[Origem]],'Perguntas 1 a 24'!$J$28:$K$34,2,FALSE)</f>
        <v>Centro-Oeste</v>
      </c>
      <c r="E1749" s="90" t="s">
        <v>13088</v>
      </c>
      <c r="F1749" s="91">
        <v>46501</v>
      </c>
      <c r="G1749" s="92">
        <v>77964</v>
      </c>
      <c r="H1749" s="90" t="s">
        <v>9</v>
      </c>
      <c r="I17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49" s="90" t="s">
        <v>4745</v>
      </c>
    </row>
    <row r="1750" spans="1:11">
      <c r="A1750" s="90" t="s">
        <v>5472</v>
      </c>
      <c r="B1750" s="90" t="s">
        <v>5473</v>
      </c>
      <c r="C1750" s="90" t="s">
        <v>15</v>
      </c>
      <c r="D1750" s="90" t="str">
        <f>VLOOKUP(Tabela1[[#This Row],[Origem]],'Perguntas 1 a 24'!$J$28:$K$34,2,FALSE)</f>
        <v>Sudeste</v>
      </c>
      <c r="E1750" s="90" t="s">
        <v>13089</v>
      </c>
      <c r="F1750" s="91">
        <v>46501</v>
      </c>
      <c r="G1750" s="92">
        <v>22547</v>
      </c>
      <c r="H1750" s="90" t="s">
        <v>14</v>
      </c>
      <c r="I17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50" s="90" t="s">
        <v>5473</v>
      </c>
    </row>
    <row r="1751" spans="1:11">
      <c r="A1751" s="90" t="s">
        <v>10839</v>
      </c>
      <c r="B1751" s="90" t="s">
        <v>10840</v>
      </c>
      <c r="C1751" s="90" t="s">
        <v>16</v>
      </c>
      <c r="D1751" s="90" t="str">
        <f>VLOOKUP(Tabela1[[#This Row],[Origem]],'Perguntas 1 a 24'!$J$28:$K$34,2,FALSE)</f>
        <v>Sudeste</v>
      </c>
      <c r="E1751" s="90" t="s">
        <v>13090</v>
      </c>
      <c r="F1751" s="91">
        <v>46501</v>
      </c>
      <c r="G1751" s="92">
        <v>111247</v>
      </c>
      <c r="H1751" s="90" t="s">
        <v>9</v>
      </c>
      <c r="I17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51" s="90" t="s">
        <v>10840</v>
      </c>
    </row>
    <row r="1752" spans="1:11">
      <c r="A1752" s="90" t="s">
        <v>11133</v>
      </c>
      <c r="B1752" s="90" t="s">
        <v>11134</v>
      </c>
      <c r="C1752" s="90" t="s">
        <v>8</v>
      </c>
      <c r="D1752" s="90" t="str">
        <f>VLOOKUP(Tabela1[[#This Row],[Origem]],'Perguntas 1 a 24'!$J$28:$K$34,2,FALSE)</f>
        <v>Nordeste</v>
      </c>
      <c r="E1752" s="90" t="s">
        <v>13091</v>
      </c>
      <c r="F1752" s="91">
        <v>46501</v>
      </c>
      <c r="G1752" s="92">
        <v>46427</v>
      </c>
      <c r="H1752" s="90" t="s">
        <v>14</v>
      </c>
      <c r="I17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52" s="90" t="s">
        <v>11134</v>
      </c>
    </row>
    <row r="1753" spans="1:11">
      <c r="A1753" s="90" t="s">
        <v>5520</v>
      </c>
      <c r="B1753" s="90" t="s">
        <v>5521</v>
      </c>
      <c r="C1753" s="90" t="s">
        <v>15</v>
      </c>
      <c r="D1753" s="90" t="str">
        <f>VLOOKUP(Tabela1[[#This Row],[Origem]],'Perguntas 1 a 24'!$J$28:$K$34,2,FALSE)</f>
        <v>Sudeste</v>
      </c>
      <c r="E1753" s="90" t="s">
        <v>13092</v>
      </c>
      <c r="F1753" s="91">
        <v>46503</v>
      </c>
      <c r="G1753" s="92">
        <v>79992</v>
      </c>
      <c r="H1753" s="90" t="s">
        <v>9</v>
      </c>
      <c r="I17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53" s="90" t="s">
        <v>5521</v>
      </c>
    </row>
    <row r="1754" spans="1:11">
      <c r="A1754" s="90" t="s">
        <v>6234</v>
      </c>
      <c r="B1754" s="90" t="s">
        <v>6235</v>
      </c>
      <c r="C1754" s="90" t="s">
        <v>15</v>
      </c>
      <c r="D1754" s="90" t="str">
        <f>VLOOKUP(Tabela1[[#This Row],[Origem]],'Perguntas 1 a 24'!$J$28:$K$34,2,FALSE)</f>
        <v>Sudeste</v>
      </c>
      <c r="E1754" s="90" t="s">
        <v>13093</v>
      </c>
      <c r="F1754" s="91">
        <v>46504</v>
      </c>
      <c r="G1754" s="92">
        <v>111137</v>
      </c>
      <c r="H1754" s="90" t="s">
        <v>14</v>
      </c>
      <c r="I17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54" s="90" t="s">
        <v>6235</v>
      </c>
    </row>
    <row r="1755" spans="1:11">
      <c r="A1755" s="90" t="s">
        <v>8985</v>
      </c>
      <c r="B1755" s="90" t="s">
        <v>8986</v>
      </c>
      <c r="C1755" s="90" t="s">
        <v>12</v>
      </c>
      <c r="D1755" s="90" t="str">
        <f>VLOOKUP(Tabela1[[#This Row],[Origem]],'Perguntas 1 a 24'!$J$28:$K$34,2,FALSE)</f>
        <v>Sudeste</v>
      </c>
      <c r="E1755" s="90" t="s">
        <v>13094</v>
      </c>
      <c r="F1755" s="91">
        <v>46504</v>
      </c>
      <c r="G1755" s="92">
        <v>103843</v>
      </c>
      <c r="H1755" s="90" t="s">
        <v>9</v>
      </c>
      <c r="I17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55" s="90" t="s">
        <v>8986</v>
      </c>
    </row>
    <row r="1756" spans="1:11">
      <c r="A1756" s="90" t="s">
        <v>10191</v>
      </c>
      <c r="B1756" s="90" t="s">
        <v>10192</v>
      </c>
      <c r="C1756" s="90" t="s">
        <v>15</v>
      </c>
      <c r="D1756" s="90" t="str">
        <f>VLOOKUP(Tabela1[[#This Row],[Origem]],'Perguntas 1 a 24'!$J$28:$K$34,2,FALSE)</f>
        <v>Sudeste</v>
      </c>
      <c r="E1756" s="90" t="s">
        <v>13095</v>
      </c>
      <c r="F1756" s="91">
        <v>46505</v>
      </c>
      <c r="G1756" s="92">
        <v>102411</v>
      </c>
      <c r="H1756" s="90" t="s">
        <v>9</v>
      </c>
      <c r="I17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56" s="90" t="s">
        <v>10192</v>
      </c>
    </row>
    <row r="1757" spans="1:11">
      <c r="A1757" s="90" t="s">
        <v>11121</v>
      </c>
      <c r="B1757" s="90" t="s">
        <v>11122</v>
      </c>
      <c r="C1757" s="90" t="s">
        <v>13</v>
      </c>
      <c r="D1757" s="90" t="str">
        <f>VLOOKUP(Tabela1[[#This Row],[Origem]],'Perguntas 1 a 24'!$J$28:$K$34,2,FALSE)</f>
        <v>Sudeste</v>
      </c>
      <c r="E1757" s="90" t="s">
        <v>13096</v>
      </c>
      <c r="F1757" s="91">
        <v>46505</v>
      </c>
      <c r="G1757" s="92">
        <v>103834</v>
      </c>
      <c r="H1757" s="90" t="s">
        <v>14</v>
      </c>
      <c r="I17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57" s="90" t="s">
        <v>11122</v>
      </c>
    </row>
    <row r="1758" spans="1:11">
      <c r="A1758" s="90" t="s">
        <v>4626</v>
      </c>
      <c r="B1758" s="90" t="s">
        <v>4627</v>
      </c>
      <c r="C1758" s="90" t="s">
        <v>10</v>
      </c>
      <c r="D1758" s="90" t="str">
        <f>VLOOKUP(Tabela1[[#This Row],[Origem]],'Perguntas 1 a 24'!$J$28:$K$34,2,FALSE)</f>
        <v>Centro-Oeste</v>
      </c>
      <c r="E1758" s="90" t="s">
        <v>13097</v>
      </c>
      <c r="F1758" s="91">
        <v>46507</v>
      </c>
      <c r="G1758" s="92">
        <v>94805</v>
      </c>
      <c r="H1758" s="90" t="s">
        <v>9</v>
      </c>
      <c r="I17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58" s="90" t="s">
        <v>4627</v>
      </c>
    </row>
    <row r="1759" spans="1:11">
      <c r="A1759" s="90" t="s">
        <v>6694</v>
      </c>
      <c r="B1759" s="90" t="s">
        <v>6695</v>
      </c>
      <c r="C1759" s="90" t="s">
        <v>16</v>
      </c>
      <c r="D1759" s="90" t="str">
        <f>VLOOKUP(Tabela1[[#This Row],[Origem]],'Perguntas 1 a 24'!$J$28:$K$34,2,FALSE)</f>
        <v>Sudeste</v>
      </c>
      <c r="E1759" s="90" t="s">
        <v>13098</v>
      </c>
      <c r="F1759" s="91">
        <v>46507</v>
      </c>
      <c r="G1759" s="92">
        <v>117197</v>
      </c>
      <c r="H1759" s="90" t="s">
        <v>7</v>
      </c>
      <c r="I17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59" s="90" t="s">
        <v>6695</v>
      </c>
    </row>
    <row r="1760" spans="1:11">
      <c r="A1760" s="90" t="s">
        <v>6844</v>
      </c>
      <c r="B1760" s="90" t="s">
        <v>6845</v>
      </c>
      <c r="C1760" s="90" t="s">
        <v>16</v>
      </c>
      <c r="D1760" s="90" t="str">
        <f>VLOOKUP(Tabela1[[#This Row],[Origem]],'Perguntas 1 a 24'!$J$28:$K$34,2,FALSE)</f>
        <v>Sudeste</v>
      </c>
      <c r="E1760" s="90" t="s">
        <v>13099</v>
      </c>
      <c r="F1760" s="91">
        <v>46507</v>
      </c>
      <c r="G1760" s="92">
        <v>20138</v>
      </c>
      <c r="H1760" s="90" t="s">
        <v>9</v>
      </c>
      <c r="I17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60" s="90" t="s">
        <v>6845</v>
      </c>
    </row>
    <row r="1761" spans="1:11">
      <c r="A1761" s="90" t="s">
        <v>4014</v>
      </c>
      <c r="B1761" s="90" t="s">
        <v>4015</v>
      </c>
      <c r="C1761" s="90" t="s">
        <v>6</v>
      </c>
      <c r="D1761" s="90" t="str">
        <f>VLOOKUP(Tabela1[[#This Row],[Origem]],'Perguntas 1 a 24'!$J$28:$K$34,2,FALSE)</f>
        <v>Nordeste</v>
      </c>
      <c r="E1761" s="90" t="s">
        <v>13100</v>
      </c>
      <c r="F1761" s="91">
        <v>46508</v>
      </c>
      <c r="G1761" s="92">
        <v>44748</v>
      </c>
      <c r="H1761" s="90" t="s">
        <v>7</v>
      </c>
      <c r="I17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61" s="90" t="s">
        <v>4015</v>
      </c>
    </row>
    <row r="1762" spans="1:11">
      <c r="A1762" s="90" t="s">
        <v>5148</v>
      </c>
      <c r="B1762" s="90" t="s">
        <v>5149</v>
      </c>
      <c r="C1762" s="90" t="s">
        <v>13</v>
      </c>
      <c r="D1762" s="90" t="str">
        <f>VLOOKUP(Tabela1[[#This Row],[Origem]],'Perguntas 1 a 24'!$J$28:$K$34,2,FALSE)</f>
        <v>Sudeste</v>
      </c>
      <c r="E1762" s="90" t="s">
        <v>13101</v>
      </c>
      <c r="F1762" s="91">
        <v>46510</v>
      </c>
      <c r="G1762" s="92">
        <v>63800</v>
      </c>
      <c r="H1762" s="90" t="s">
        <v>9</v>
      </c>
      <c r="I17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62" s="90" t="s">
        <v>5149</v>
      </c>
    </row>
    <row r="1763" spans="1:11">
      <c r="A1763" s="90" t="s">
        <v>4682</v>
      </c>
      <c r="B1763" s="90" t="s">
        <v>4683</v>
      </c>
      <c r="C1763" s="90" t="s">
        <v>15</v>
      </c>
      <c r="D1763" s="90" t="str">
        <f>VLOOKUP(Tabela1[[#This Row],[Origem]],'Perguntas 1 a 24'!$J$28:$K$34,2,FALSE)</f>
        <v>Sudeste</v>
      </c>
      <c r="E1763" s="90" t="s">
        <v>13102</v>
      </c>
      <c r="F1763" s="91">
        <v>46511</v>
      </c>
      <c r="G1763" s="92">
        <v>73688</v>
      </c>
      <c r="H1763" s="90" t="s">
        <v>11</v>
      </c>
      <c r="I17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63" s="90" t="s">
        <v>4683</v>
      </c>
    </row>
    <row r="1764" spans="1:11">
      <c r="A1764" s="90" t="s">
        <v>8881</v>
      </c>
      <c r="B1764" s="90" t="s">
        <v>8882</v>
      </c>
      <c r="C1764" s="90" t="s">
        <v>15</v>
      </c>
      <c r="D1764" s="90" t="str">
        <f>VLOOKUP(Tabela1[[#This Row],[Origem]],'Perguntas 1 a 24'!$J$28:$K$34,2,FALSE)</f>
        <v>Sudeste</v>
      </c>
      <c r="E1764" s="90" t="s">
        <v>13103</v>
      </c>
      <c r="F1764" s="91">
        <v>46511</v>
      </c>
      <c r="G1764" s="92">
        <v>77825</v>
      </c>
      <c r="H1764" s="90" t="s">
        <v>14</v>
      </c>
      <c r="I17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64" s="90" t="s">
        <v>8882</v>
      </c>
    </row>
    <row r="1765" spans="1:11">
      <c r="A1765" s="90" t="s">
        <v>5400</v>
      </c>
      <c r="B1765" s="90" t="s">
        <v>5401</v>
      </c>
      <c r="C1765" s="90" t="s">
        <v>16</v>
      </c>
      <c r="D1765" s="90" t="str">
        <f>VLOOKUP(Tabela1[[#This Row],[Origem]],'Perguntas 1 a 24'!$J$28:$K$34,2,FALSE)</f>
        <v>Sudeste</v>
      </c>
      <c r="E1765" s="90" t="s">
        <v>13104</v>
      </c>
      <c r="F1765" s="91">
        <v>46514</v>
      </c>
      <c r="G1765" s="92">
        <v>21633</v>
      </c>
      <c r="H1765" s="90" t="s">
        <v>9</v>
      </c>
      <c r="I17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65" s="90" t="s">
        <v>5401</v>
      </c>
    </row>
    <row r="1766" spans="1:11">
      <c r="A1766" s="90" t="s">
        <v>4148</v>
      </c>
      <c r="B1766" s="90" t="s">
        <v>4149</v>
      </c>
      <c r="C1766" s="90" t="s">
        <v>15</v>
      </c>
      <c r="D1766" s="90" t="str">
        <f>VLOOKUP(Tabela1[[#This Row],[Origem]],'Perguntas 1 a 24'!$J$28:$K$34,2,FALSE)</f>
        <v>Sudeste</v>
      </c>
      <c r="E1766" s="90" t="s">
        <v>13105</v>
      </c>
      <c r="F1766" s="91">
        <v>46515</v>
      </c>
      <c r="G1766" s="92">
        <v>70004</v>
      </c>
      <c r="H1766" s="90" t="s">
        <v>14</v>
      </c>
      <c r="I17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66" s="90" t="s">
        <v>4149</v>
      </c>
    </row>
    <row r="1767" spans="1:11">
      <c r="A1767" s="90" t="s">
        <v>4960</v>
      </c>
      <c r="B1767" s="90" t="s">
        <v>4961</v>
      </c>
      <c r="C1767" s="90" t="s">
        <v>15</v>
      </c>
      <c r="D1767" s="90" t="str">
        <f>VLOOKUP(Tabela1[[#This Row],[Origem]],'Perguntas 1 a 24'!$J$28:$K$34,2,FALSE)</f>
        <v>Sudeste</v>
      </c>
      <c r="E1767" s="90" t="s">
        <v>13106</v>
      </c>
      <c r="F1767" s="91">
        <v>46515</v>
      </c>
      <c r="G1767" s="92">
        <v>37896</v>
      </c>
      <c r="H1767" s="90" t="s">
        <v>14</v>
      </c>
      <c r="I17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67" s="90" t="s">
        <v>4961</v>
      </c>
    </row>
    <row r="1768" spans="1:11">
      <c r="A1768" s="90" t="s">
        <v>6532</v>
      </c>
      <c r="B1768" s="90" t="s">
        <v>6533</v>
      </c>
      <c r="C1768" s="90" t="s">
        <v>8</v>
      </c>
      <c r="D1768" s="90" t="str">
        <f>VLOOKUP(Tabela1[[#This Row],[Origem]],'Perguntas 1 a 24'!$J$28:$K$34,2,FALSE)</f>
        <v>Nordeste</v>
      </c>
      <c r="E1768" s="90" t="s">
        <v>13107</v>
      </c>
      <c r="F1768" s="91">
        <v>46515</v>
      </c>
      <c r="G1768" s="92">
        <v>118593</v>
      </c>
      <c r="H1768" s="90" t="s">
        <v>11</v>
      </c>
      <c r="I17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68" s="90" t="s">
        <v>6533</v>
      </c>
    </row>
    <row r="1769" spans="1:11">
      <c r="A1769" s="90" t="s">
        <v>7784</v>
      </c>
      <c r="B1769" s="90" t="s">
        <v>7785</v>
      </c>
      <c r="C1769" s="90" t="s">
        <v>16</v>
      </c>
      <c r="D1769" s="90" t="str">
        <f>VLOOKUP(Tabela1[[#This Row],[Origem]],'Perguntas 1 a 24'!$J$28:$K$34,2,FALSE)</f>
        <v>Sudeste</v>
      </c>
      <c r="E1769" s="90" t="s">
        <v>13108</v>
      </c>
      <c r="F1769" s="91">
        <v>46516</v>
      </c>
      <c r="G1769" s="92">
        <v>79589</v>
      </c>
      <c r="H1769" s="90" t="s">
        <v>14</v>
      </c>
      <c r="I17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69" s="90" t="s">
        <v>7785</v>
      </c>
    </row>
    <row r="1770" spans="1:11">
      <c r="A1770" s="90" t="s">
        <v>8462</v>
      </c>
      <c r="B1770" s="90" t="s">
        <v>8463</v>
      </c>
      <c r="C1770" s="90" t="s">
        <v>16</v>
      </c>
      <c r="D1770" s="90" t="str">
        <f>VLOOKUP(Tabela1[[#This Row],[Origem]],'Perguntas 1 a 24'!$J$28:$K$34,2,FALSE)</f>
        <v>Sudeste</v>
      </c>
      <c r="E1770" s="90" t="s">
        <v>13109</v>
      </c>
      <c r="F1770" s="91">
        <v>46516</v>
      </c>
      <c r="G1770" s="92">
        <v>63095</v>
      </c>
      <c r="H1770" s="90" t="s">
        <v>11</v>
      </c>
      <c r="I17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0" s="90" t="s">
        <v>8463</v>
      </c>
    </row>
    <row r="1771" spans="1:11">
      <c r="A1771" s="90" t="s">
        <v>4305</v>
      </c>
      <c r="B1771" s="90" t="s">
        <v>4306</v>
      </c>
      <c r="C1771" s="90" t="s">
        <v>10</v>
      </c>
      <c r="D1771" s="90" t="str">
        <f>VLOOKUP(Tabela1[[#This Row],[Origem]],'Perguntas 1 a 24'!$J$28:$K$34,2,FALSE)</f>
        <v>Centro-Oeste</v>
      </c>
      <c r="E1771" s="90" t="s">
        <v>13110</v>
      </c>
      <c r="F1771" s="91">
        <v>46517</v>
      </c>
      <c r="G1771" s="92">
        <v>101375</v>
      </c>
      <c r="H1771" s="90" t="s">
        <v>14</v>
      </c>
      <c r="I17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1" s="90" t="s">
        <v>4306</v>
      </c>
    </row>
    <row r="1772" spans="1:11">
      <c r="A1772" s="90" t="s">
        <v>4584</v>
      </c>
      <c r="B1772" s="90" t="s">
        <v>4585</v>
      </c>
      <c r="C1772" s="90" t="s">
        <v>12</v>
      </c>
      <c r="D1772" s="90" t="str">
        <f>VLOOKUP(Tabela1[[#This Row],[Origem]],'Perguntas 1 a 24'!$J$28:$K$34,2,FALSE)</f>
        <v>Sudeste</v>
      </c>
      <c r="E1772" s="90" t="s">
        <v>13111</v>
      </c>
      <c r="F1772" s="91">
        <v>46517</v>
      </c>
      <c r="G1772" s="92">
        <v>36895</v>
      </c>
      <c r="H1772" s="90" t="s">
        <v>7</v>
      </c>
      <c r="I17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72" s="90" t="s">
        <v>4585</v>
      </c>
    </row>
    <row r="1773" spans="1:11">
      <c r="A1773" s="90" t="s">
        <v>8541</v>
      </c>
      <c r="B1773" s="90" t="s">
        <v>8542</v>
      </c>
      <c r="C1773" s="90" t="s">
        <v>8</v>
      </c>
      <c r="D1773" s="90" t="str">
        <f>VLOOKUP(Tabela1[[#This Row],[Origem]],'Perguntas 1 a 24'!$J$28:$K$34,2,FALSE)</f>
        <v>Nordeste</v>
      </c>
      <c r="E1773" s="90" t="s">
        <v>13112</v>
      </c>
      <c r="F1773" s="91">
        <v>46517</v>
      </c>
      <c r="G1773" s="92">
        <v>66493</v>
      </c>
      <c r="H1773" s="90" t="s">
        <v>9</v>
      </c>
      <c r="I17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3" s="90" t="s">
        <v>8542</v>
      </c>
    </row>
    <row r="1774" spans="1:11">
      <c r="A1774" s="90" t="s">
        <v>9637</v>
      </c>
      <c r="B1774" s="90" t="s">
        <v>9638</v>
      </c>
      <c r="C1774" s="90" t="s">
        <v>8</v>
      </c>
      <c r="D1774" s="90" t="str">
        <f>VLOOKUP(Tabela1[[#This Row],[Origem]],'Perguntas 1 a 24'!$J$28:$K$34,2,FALSE)</f>
        <v>Nordeste</v>
      </c>
      <c r="E1774" s="90" t="s">
        <v>13113</v>
      </c>
      <c r="F1774" s="91">
        <v>46517</v>
      </c>
      <c r="G1774" s="92">
        <v>63965</v>
      </c>
      <c r="H1774" s="90" t="s">
        <v>11</v>
      </c>
      <c r="I17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4" s="90" t="s">
        <v>9638</v>
      </c>
    </row>
    <row r="1775" spans="1:11">
      <c r="A1775" s="90" t="s">
        <v>6516</v>
      </c>
      <c r="B1775" s="90" t="s">
        <v>6517</v>
      </c>
      <c r="C1775" s="90" t="s">
        <v>15</v>
      </c>
      <c r="D1775" s="90" t="str">
        <f>VLOOKUP(Tabela1[[#This Row],[Origem]],'Perguntas 1 a 24'!$J$28:$K$34,2,FALSE)</f>
        <v>Sudeste</v>
      </c>
      <c r="E1775" s="90" t="s">
        <v>13114</v>
      </c>
      <c r="F1775" s="91">
        <v>46518</v>
      </c>
      <c r="G1775" s="92">
        <v>69417</v>
      </c>
      <c r="H1775" s="90" t="s">
        <v>14</v>
      </c>
      <c r="I17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5" s="90" t="s">
        <v>6517</v>
      </c>
    </row>
    <row r="1776" spans="1:11">
      <c r="A1776" s="90" t="s">
        <v>10345</v>
      </c>
      <c r="B1776" s="90" t="s">
        <v>10346</v>
      </c>
      <c r="C1776" s="90" t="s">
        <v>8</v>
      </c>
      <c r="D1776" s="90" t="str">
        <f>VLOOKUP(Tabela1[[#This Row],[Origem]],'Perguntas 1 a 24'!$J$28:$K$34,2,FALSE)</f>
        <v>Nordeste</v>
      </c>
      <c r="E1776" s="90" t="s">
        <v>13115</v>
      </c>
      <c r="F1776" s="91">
        <v>46518</v>
      </c>
      <c r="G1776" s="92">
        <v>91153</v>
      </c>
      <c r="H1776" s="90" t="s">
        <v>9</v>
      </c>
      <c r="I17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6" s="90" t="s">
        <v>10346</v>
      </c>
    </row>
    <row r="1777" spans="1:11">
      <c r="A1777" s="90" t="s">
        <v>5878</v>
      </c>
      <c r="B1777" s="90" t="s">
        <v>5879</v>
      </c>
      <c r="C1777" s="90" t="s">
        <v>13</v>
      </c>
      <c r="D1777" s="90" t="str">
        <f>VLOOKUP(Tabela1[[#This Row],[Origem]],'Perguntas 1 a 24'!$J$28:$K$34,2,FALSE)</f>
        <v>Sudeste</v>
      </c>
      <c r="E1777" s="90" t="s">
        <v>13116</v>
      </c>
      <c r="F1777" s="91">
        <v>46519</v>
      </c>
      <c r="G1777" s="92">
        <v>91121</v>
      </c>
      <c r="H1777" s="90" t="s">
        <v>11</v>
      </c>
      <c r="I17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7" s="90" t="s">
        <v>5879</v>
      </c>
    </row>
    <row r="1778" spans="1:11">
      <c r="A1778" s="90" t="s">
        <v>6708</v>
      </c>
      <c r="B1778" s="90" t="s">
        <v>6709</v>
      </c>
      <c r="C1778" s="90" t="s">
        <v>8</v>
      </c>
      <c r="D1778" s="90" t="str">
        <f>VLOOKUP(Tabela1[[#This Row],[Origem]],'Perguntas 1 a 24'!$J$28:$K$34,2,FALSE)</f>
        <v>Nordeste</v>
      </c>
      <c r="E1778" s="90" t="s">
        <v>13117</v>
      </c>
      <c r="F1778" s="91">
        <v>46519</v>
      </c>
      <c r="G1778" s="92">
        <v>100686</v>
      </c>
      <c r="H1778" s="90" t="s">
        <v>14</v>
      </c>
      <c r="I17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8" s="90" t="s">
        <v>6709</v>
      </c>
    </row>
    <row r="1779" spans="1:11">
      <c r="A1779" s="90" t="s">
        <v>9747</v>
      </c>
      <c r="B1779" s="90" t="s">
        <v>9748</v>
      </c>
      <c r="C1779" s="90" t="s">
        <v>10</v>
      </c>
      <c r="D1779" s="90" t="str">
        <f>VLOOKUP(Tabela1[[#This Row],[Origem]],'Perguntas 1 a 24'!$J$28:$K$34,2,FALSE)</f>
        <v>Centro-Oeste</v>
      </c>
      <c r="E1779" s="90" t="s">
        <v>13118</v>
      </c>
      <c r="F1779" s="91">
        <v>46519</v>
      </c>
      <c r="G1779" s="92">
        <v>75318</v>
      </c>
      <c r="H1779" s="90" t="s">
        <v>9</v>
      </c>
      <c r="I17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79" s="90" t="s">
        <v>9748</v>
      </c>
    </row>
    <row r="1780" spans="1:11">
      <c r="A1780" s="90" t="s">
        <v>4130</v>
      </c>
      <c r="B1780" s="90" t="s">
        <v>4131</v>
      </c>
      <c r="C1780" s="90" t="s">
        <v>15</v>
      </c>
      <c r="D1780" s="90" t="str">
        <f>VLOOKUP(Tabela1[[#This Row],[Origem]],'Perguntas 1 a 24'!$J$28:$K$34,2,FALSE)</f>
        <v>Sudeste</v>
      </c>
      <c r="E1780" s="90" t="s">
        <v>13119</v>
      </c>
      <c r="F1780" s="91">
        <v>46520</v>
      </c>
      <c r="G1780" s="92">
        <v>27282</v>
      </c>
      <c r="H1780" s="90" t="s">
        <v>11</v>
      </c>
      <c r="I17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80" s="90" t="s">
        <v>4131</v>
      </c>
    </row>
    <row r="1781" spans="1:11">
      <c r="A1781" s="90" t="s">
        <v>6136</v>
      </c>
      <c r="B1781" s="90" t="s">
        <v>6137</v>
      </c>
      <c r="C1781" s="90" t="s">
        <v>13</v>
      </c>
      <c r="D1781" s="90" t="str">
        <f>VLOOKUP(Tabela1[[#This Row],[Origem]],'Perguntas 1 a 24'!$J$28:$K$34,2,FALSE)</f>
        <v>Sudeste</v>
      </c>
      <c r="E1781" s="90" t="s">
        <v>13120</v>
      </c>
      <c r="F1781" s="91">
        <v>46522</v>
      </c>
      <c r="G1781" s="92">
        <v>78909</v>
      </c>
      <c r="H1781" s="90" t="s">
        <v>14</v>
      </c>
      <c r="I17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81" s="90" t="s">
        <v>6137</v>
      </c>
    </row>
    <row r="1782" spans="1:11">
      <c r="A1782" s="90" t="s">
        <v>6798</v>
      </c>
      <c r="B1782" s="90" t="s">
        <v>6799</v>
      </c>
      <c r="C1782" s="90" t="s">
        <v>16</v>
      </c>
      <c r="D1782" s="90" t="str">
        <f>VLOOKUP(Tabela1[[#This Row],[Origem]],'Perguntas 1 a 24'!$J$28:$K$34,2,FALSE)</f>
        <v>Sudeste</v>
      </c>
      <c r="E1782" s="90" t="s">
        <v>13121</v>
      </c>
      <c r="F1782" s="91">
        <v>46522</v>
      </c>
      <c r="G1782" s="92">
        <v>114546</v>
      </c>
      <c r="H1782" s="90" t="s">
        <v>9</v>
      </c>
      <c r="I17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82" s="90" t="s">
        <v>6799</v>
      </c>
    </row>
    <row r="1783" spans="1:11">
      <c r="A1783" s="90" t="s">
        <v>8314</v>
      </c>
      <c r="B1783" s="90" t="s">
        <v>8315</v>
      </c>
      <c r="C1783" s="90" t="s">
        <v>16</v>
      </c>
      <c r="D1783" s="90" t="str">
        <f>VLOOKUP(Tabela1[[#This Row],[Origem]],'Perguntas 1 a 24'!$J$28:$K$34,2,FALSE)</f>
        <v>Sudeste</v>
      </c>
      <c r="E1783" s="90" t="s">
        <v>13122</v>
      </c>
      <c r="F1783" s="91">
        <v>46522</v>
      </c>
      <c r="G1783" s="92">
        <v>40613</v>
      </c>
      <c r="H1783" s="90" t="s">
        <v>11</v>
      </c>
      <c r="I17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83" s="90" t="s">
        <v>8315</v>
      </c>
    </row>
    <row r="1784" spans="1:11">
      <c r="A1784" s="90" t="s">
        <v>9385</v>
      </c>
      <c r="B1784" s="90" t="s">
        <v>9386</v>
      </c>
      <c r="C1784" s="90" t="s">
        <v>10</v>
      </c>
      <c r="D1784" s="90" t="str">
        <f>VLOOKUP(Tabela1[[#This Row],[Origem]],'Perguntas 1 a 24'!$J$28:$K$34,2,FALSE)</f>
        <v>Centro-Oeste</v>
      </c>
      <c r="E1784" s="90" t="s">
        <v>13123</v>
      </c>
      <c r="F1784" s="91">
        <v>46523</v>
      </c>
      <c r="G1784" s="92">
        <v>34261</v>
      </c>
      <c r="H1784" s="90" t="s">
        <v>14</v>
      </c>
      <c r="I17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84" s="90" t="s">
        <v>9386</v>
      </c>
    </row>
    <row r="1785" spans="1:11">
      <c r="A1785" s="90" t="s">
        <v>4504</v>
      </c>
      <c r="B1785" s="90" t="s">
        <v>4505</v>
      </c>
      <c r="C1785" s="90" t="s">
        <v>8</v>
      </c>
      <c r="D1785" s="90" t="str">
        <f>VLOOKUP(Tabela1[[#This Row],[Origem]],'Perguntas 1 a 24'!$J$28:$K$34,2,FALSE)</f>
        <v>Nordeste</v>
      </c>
      <c r="E1785" s="90" t="s">
        <v>13124</v>
      </c>
      <c r="F1785" s="91">
        <v>46524</v>
      </c>
      <c r="G1785" s="92">
        <v>58182</v>
      </c>
      <c r="H1785" s="90" t="s">
        <v>14</v>
      </c>
      <c r="I17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85" s="90" t="s">
        <v>4505</v>
      </c>
    </row>
    <row r="1786" spans="1:11">
      <c r="A1786" s="90" t="s">
        <v>6540</v>
      </c>
      <c r="B1786" s="90" t="s">
        <v>6541</v>
      </c>
      <c r="C1786" s="90" t="s">
        <v>6</v>
      </c>
      <c r="D1786" s="90" t="str">
        <f>VLOOKUP(Tabela1[[#This Row],[Origem]],'Perguntas 1 a 24'!$J$28:$K$34,2,FALSE)</f>
        <v>Nordeste</v>
      </c>
      <c r="E1786" s="90" t="s">
        <v>13125</v>
      </c>
      <c r="F1786" s="91">
        <v>46524</v>
      </c>
      <c r="G1786" s="92">
        <v>105608</v>
      </c>
      <c r="H1786" s="90" t="s">
        <v>14</v>
      </c>
      <c r="I17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86" s="90" t="s">
        <v>6541</v>
      </c>
    </row>
    <row r="1787" spans="1:11">
      <c r="A1787" s="90" t="s">
        <v>8098</v>
      </c>
      <c r="B1787" s="90" t="s">
        <v>8099</v>
      </c>
      <c r="C1787" s="90" t="s">
        <v>8</v>
      </c>
      <c r="D1787" s="90" t="str">
        <f>VLOOKUP(Tabela1[[#This Row],[Origem]],'Perguntas 1 a 24'!$J$28:$K$34,2,FALSE)</f>
        <v>Nordeste</v>
      </c>
      <c r="E1787" s="90" t="s">
        <v>13126</v>
      </c>
      <c r="F1787" s="91">
        <v>46524</v>
      </c>
      <c r="G1787" s="92">
        <v>66620</v>
      </c>
      <c r="H1787" s="90" t="s">
        <v>7</v>
      </c>
      <c r="I17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87" s="90" t="s">
        <v>8099</v>
      </c>
    </row>
    <row r="1788" spans="1:11">
      <c r="A1788" s="90" t="s">
        <v>7484</v>
      </c>
      <c r="B1788" s="90" t="s">
        <v>7485</v>
      </c>
      <c r="C1788" s="90" t="s">
        <v>8</v>
      </c>
      <c r="D1788" s="90" t="str">
        <f>VLOOKUP(Tabela1[[#This Row],[Origem]],'Perguntas 1 a 24'!$J$28:$K$34,2,FALSE)</f>
        <v>Nordeste</v>
      </c>
      <c r="E1788" s="90" t="s">
        <v>13127</v>
      </c>
      <c r="F1788" s="91">
        <v>46525</v>
      </c>
      <c r="G1788" s="92">
        <v>75597</v>
      </c>
      <c r="H1788" s="90" t="s">
        <v>14</v>
      </c>
      <c r="I17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88" s="90" t="s">
        <v>7485</v>
      </c>
    </row>
    <row r="1789" spans="1:11">
      <c r="A1789" s="90" t="s">
        <v>10277</v>
      </c>
      <c r="B1789" s="90" t="s">
        <v>10278</v>
      </c>
      <c r="C1789" s="90" t="s">
        <v>16</v>
      </c>
      <c r="D1789" s="90" t="str">
        <f>VLOOKUP(Tabela1[[#This Row],[Origem]],'Perguntas 1 a 24'!$J$28:$K$34,2,FALSE)</f>
        <v>Sudeste</v>
      </c>
      <c r="E1789" s="90" t="s">
        <v>13128</v>
      </c>
      <c r="F1789" s="91">
        <v>46525</v>
      </c>
      <c r="G1789" s="92">
        <v>51126</v>
      </c>
      <c r="H1789" s="90" t="s">
        <v>14</v>
      </c>
      <c r="I17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89" s="90" t="s">
        <v>10278</v>
      </c>
    </row>
    <row r="1790" spans="1:11">
      <c r="A1790" s="90" t="s">
        <v>4552</v>
      </c>
      <c r="B1790" s="90" t="s">
        <v>4553</v>
      </c>
      <c r="C1790" s="90" t="s">
        <v>6</v>
      </c>
      <c r="D1790" s="90" t="str">
        <f>VLOOKUP(Tabela1[[#This Row],[Origem]],'Perguntas 1 a 24'!$J$28:$K$34,2,FALSE)</f>
        <v>Nordeste</v>
      </c>
      <c r="E1790" s="90" t="s">
        <v>13129</v>
      </c>
      <c r="F1790" s="91">
        <v>46526</v>
      </c>
      <c r="G1790" s="92">
        <v>81391</v>
      </c>
      <c r="H1790" s="90" t="s">
        <v>14</v>
      </c>
      <c r="I17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90" s="90" t="s">
        <v>4553</v>
      </c>
    </row>
    <row r="1791" spans="1:11">
      <c r="A1791" s="90" t="s">
        <v>8356</v>
      </c>
      <c r="B1791" s="90" t="s">
        <v>8357</v>
      </c>
      <c r="C1791" s="90" t="s">
        <v>10</v>
      </c>
      <c r="D1791" s="90" t="str">
        <f>VLOOKUP(Tabela1[[#This Row],[Origem]],'Perguntas 1 a 24'!$J$28:$K$34,2,FALSE)</f>
        <v>Centro-Oeste</v>
      </c>
      <c r="E1791" s="90" t="s">
        <v>13130</v>
      </c>
      <c r="F1791" s="91">
        <v>46527</v>
      </c>
      <c r="G1791" s="92">
        <v>74857</v>
      </c>
      <c r="H1791" s="90" t="s">
        <v>9</v>
      </c>
      <c r="I17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91" s="90" t="s">
        <v>8357</v>
      </c>
    </row>
    <row r="1792" spans="1:11">
      <c r="A1792" s="90" t="s">
        <v>10285</v>
      </c>
      <c r="B1792" s="90" t="s">
        <v>10286</v>
      </c>
      <c r="C1792" s="90" t="s">
        <v>12</v>
      </c>
      <c r="D1792" s="90" t="str">
        <f>VLOOKUP(Tabela1[[#This Row],[Origem]],'Perguntas 1 a 24'!$J$28:$K$34,2,FALSE)</f>
        <v>Sudeste</v>
      </c>
      <c r="E1792" s="90" t="s">
        <v>13131</v>
      </c>
      <c r="F1792" s="91">
        <v>46527</v>
      </c>
      <c r="G1792" s="92">
        <v>109711</v>
      </c>
      <c r="H1792" s="90" t="s">
        <v>7</v>
      </c>
      <c r="I17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92" s="90" t="s">
        <v>10286</v>
      </c>
    </row>
    <row r="1793" spans="1:11">
      <c r="A1793" s="90" t="s">
        <v>8210</v>
      </c>
      <c r="B1793" s="90" t="s">
        <v>8211</v>
      </c>
      <c r="C1793" s="90" t="s">
        <v>12</v>
      </c>
      <c r="D1793" s="90" t="str">
        <f>VLOOKUP(Tabela1[[#This Row],[Origem]],'Perguntas 1 a 24'!$J$28:$K$34,2,FALSE)</f>
        <v>Sudeste</v>
      </c>
      <c r="E1793" s="90" t="s">
        <v>13132</v>
      </c>
      <c r="F1793" s="91">
        <v>46528</v>
      </c>
      <c r="G1793" s="92">
        <v>26347</v>
      </c>
      <c r="H1793" s="90" t="s">
        <v>7</v>
      </c>
      <c r="I17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93" s="90" t="s">
        <v>8211</v>
      </c>
    </row>
    <row r="1794" spans="1:11">
      <c r="A1794" s="90" t="s">
        <v>8338</v>
      </c>
      <c r="B1794" s="90" t="s">
        <v>8339</v>
      </c>
      <c r="C1794" s="90" t="s">
        <v>6</v>
      </c>
      <c r="D1794" s="90" t="str">
        <f>VLOOKUP(Tabela1[[#This Row],[Origem]],'Perguntas 1 a 24'!$J$28:$K$34,2,FALSE)</f>
        <v>Nordeste</v>
      </c>
      <c r="E1794" s="90" t="s">
        <v>13133</v>
      </c>
      <c r="F1794" s="91">
        <v>46528</v>
      </c>
      <c r="G1794" s="92">
        <v>105326</v>
      </c>
      <c r="H1794" s="90" t="s">
        <v>11</v>
      </c>
      <c r="I17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94" s="90" t="s">
        <v>8339</v>
      </c>
    </row>
    <row r="1795" spans="1:11">
      <c r="A1795" s="90" t="s">
        <v>6882</v>
      </c>
      <c r="B1795" s="90" t="s">
        <v>6883</v>
      </c>
      <c r="C1795" s="90" t="s">
        <v>15</v>
      </c>
      <c r="D1795" s="90" t="str">
        <f>VLOOKUP(Tabela1[[#This Row],[Origem]],'Perguntas 1 a 24'!$J$28:$K$34,2,FALSE)</f>
        <v>Sudeste</v>
      </c>
      <c r="E1795" s="90" t="s">
        <v>13134</v>
      </c>
      <c r="F1795" s="91">
        <v>46529</v>
      </c>
      <c r="G1795" s="92">
        <v>50344</v>
      </c>
      <c r="H1795" s="90" t="s">
        <v>11</v>
      </c>
      <c r="I17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95" s="90" t="s">
        <v>6883</v>
      </c>
    </row>
    <row r="1796" spans="1:11">
      <c r="A1796" s="90" t="s">
        <v>4277</v>
      </c>
      <c r="B1796" s="90" t="s">
        <v>4278</v>
      </c>
      <c r="C1796" s="90" t="s">
        <v>10</v>
      </c>
      <c r="D1796" s="90" t="str">
        <f>VLOOKUP(Tabela1[[#This Row],[Origem]],'Perguntas 1 a 24'!$J$28:$K$34,2,FALSE)</f>
        <v>Centro-Oeste</v>
      </c>
      <c r="E1796" s="90" t="s">
        <v>13135</v>
      </c>
      <c r="F1796" s="91">
        <v>46530</v>
      </c>
      <c r="G1796" s="92">
        <v>74884</v>
      </c>
      <c r="H1796" s="90" t="s">
        <v>11</v>
      </c>
      <c r="I17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96" s="90" t="s">
        <v>4278</v>
      </c>
    </row>
    <row r="1797" spans="1:11">
      <c r="A1797" s="90" t="s">
        <v>5046</v>
      </c>
      <c r="B1797" s="90" t="s">
        <v>5047</v>
      </c>
      <c r="C1797" s="90" t="s">
        <v>16</v>
      </c>
      <c r="D1797" s="90" t="str">
        <f>VLOOKUP(Tabela1[[#This Row],[Origem]],'Perguntas 1 a 24'!$J$28:$K$34,2,FALSE)</f>
        <v>Sudeste</v>
      </c>
      <c r="E1797" s="90" t="s">
        <v>13136</v>
      </c>
      <c r="F1797" s="91">
        <v>46530</v>
      </c>
      <c r="G1797" s="92">
        <v>60481</v>
      </c>
      <c r="H1797" s="90" t="s">
        <v>14</v>
      </c>
      <c r="I17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97" s="90" t="s">
        <v>5047</v>
      </c>
    </row>
    <row r="1798" spans="1:11">
      <c r="A1798" s="90" t="s">
        <v>6324</v>
      </c>
      <c r="B1798" s="90" t="s">
        <v>6325</v>
      </c>
      <c r="C1798" s="90" t="s">
        <v>12</v>
      </c>
      <c r="D1798" s="90" t="str">
        <f>VLOOKUP(Tabela1[[#This Row],[Origem]],'Perguntas 1 a 24'!$J$28:$K$34,2,FALSE)</f>
        <v>Sudeste</v>
      </c>
      <c r="E1798" s="90" t="s">
        <v>13137</v>
      </c>
      <c r="F1798" s="91">
        <v>46530</v>
      </c>
      <c r="G1798" s="92">
        <v>95787</v>
      </c>
      <c r="H1798" s="90" t="s">
        <v>7</v>
      </c>
      <c r="I17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798" s="90" t="s">
        <v>6325</v>
      </c>
    </row>
    <row r="1799" spans="1:11">
      <c r="A1799" s="90" t="s">
        <v>9785</v>
      </c>
      <c r="B1799" s="90" t="s">
        <v>9786</v>
      </c>
      <c r="C1799" s="90" t="s">
        <v>10</v>
      </c>
      <c r="D1799" s="90" t="str">
        <f>VLOOKUP(Tabela1[[#This Row],[Origem]],'Perguntas 1 a 24'!$J$28:$K$34,2,FALSE)</f>
        <v>Centro-Oeste</v>
      </c>
      <c r="E1799" s="90" t="s">
        <v>13138</v>
      </c>
      <c r="F1799" s="91">
        <v>46530</v>
      </c>
      <c r="G1799" s="92">
        <v>27519</v>
      </c>
      <c r="H1799" s="90" t="s">
        <v>9</v>
      </c>
      <c r="I17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799" s="90" t="s">
        <v>9786</v>
      </c>
    </row>
    <row r="1800" spans="1:11">
      <c r="A1800" s="90" t="s">
        <v>6354</v>
      </c>
      <c r="B1800" s="90" t="s">
        <v>6355</v>
      </c>
      <c r="C1800" s="90" t="s">
        <v>16</v>
      </c>
      <c r="D1800" s="90" t="str">
        <f>VLOOKUP(Tabela1[[#This Row],[Origem]],'Perguntas 1 a 24'!$J$28:$K$34,2,FALSE)</f>
        <v>Sudeste</v>
      </c>
      <c r="E1800" s="90" t="s">
        <v>13139</v>
      </c>
      <c r="F1800" s="91">
        <v>46532</v>
      </c>
      <c r="G1800" s="92">
        <v>58360</v>
      </c>
      <c r="H1800" s="90" t="s">
        <v>7</v>
      </c>
      <c r="I18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00" s="90" t="s">
        <v>6355</v>
      </c>
    </row>
    <row r="1801" spans="1:11">
      <c r="A1801" s="90" t="s">
        <v>7186</v>
      </c>
      <c r="B1801" s="90" t="s">
        <v>7187</v>
      </c>
      <c r="C1801" s="90" t="s">
        <v>8</v>
      </c>
      <c r="D1801" s="90" t="str">
        <f>VLOOKUP(Tabela1[[#This Row],[Origem]],'Perguntas 1 a 24'!$J$28:$K$34,2,FALSE)</f>
        <v>Nordeste</v>
      </c>
      <c r="E1801" s="90" t="s">
        <v>13140</v>
      </c>
      <c r="F1801" s="91">
        <v>46532</v>
      </c>
      <c r="G1801" s="92">
        <v>119301</v>
      </c>
      <c r="H1801" s="90" t="s">
        <v>9</v>
      </c>
      <c r="I18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01" s="90" t="s">
        <v>7187</v>
      </c>
    </row>
    <row r="1802" spans="1:11">
      <c r="A1802" s="90" t="s">
        <v>10917</v>
      </c>
      <c r="B1802" s="90" t="s">
        <v>10918</v>
      </c>
      <c r="C1802" s="90" t="s">
        <v>12</v>
      </c>
      <c r="D1802" s="90" t="str">
        <f>VLOOKUP(Tabela1[[#This Row],[Origem]],'Perguntas 1 a 24'!$J$28:$K$34,2,FALSE)</f>
        <v>Sudeste</v>
      </c>
      <c r="E1802" s="90" t="s">
        <v>13141</v>
      </c>
      <c r="F1802" s="91">
        <v>46534</v>
      </c>
      <c r="G1802" s="92">
        <v>77225</v>
      </c>
      <c r="H1802" s="90" t="s">
        <v>7</v>
      </c>
      <c r="I18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02" s="90" t="s">
        <v>10918</v>
      </c>
    </row>
    <row r="1803" spans="1:11">
      <c r="A1803" s="90" t="s">
        <v>5198</v>
      </c>
      <c r="B1803" s="90" t="s">
        <v>5199</v>
      </c>
      <c r="C1803" s="90" t="s">
        <v>13</v>
      </c>
      <c r="D1803" s="90" t="str">
        <f>VLOOKUP(Tabela1[[#This Row],[Origem]],'Perguntas 1 a 24'!$J$28:$K$34,2,FALSE)</f>
        <v>Sudeste</v>
      </c>
      <c r="E1803" s="90" t="s">
        <v>13142</v>
      </c>
      <c r="F1803" s="91">
        <v>46535</v>
      </c>
      <c r="G1803" s="92">
        <v>37030</v>
      </c>
      <c r="H1803" s="90" t="s">
        <v>14</v>
      </c>
      <c r="I18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03" s="90" t="s">
        <v>5199</v>
      </c>
    </row>
    <row r="1804" spans="1:11">
      <c r="A1804" s="90" t="s">
        <v>5984</v>
      </c>
      <c r="B1804" s="90" t="s">
        <v>5985</v>
      </c>
      <c r="C1804" s="90" t="s">
        <v>10</v>
      </c>
      <c r="D1804" s="90" t="str">
        <f>VLOOKUP(Tabela1[[#This Row],[Origem]],'Perguntas 1 a 24'!$J$28:$K$34,2,FALSE)</f>
        <v>Centro-Oeste</v>
      </c>
      <c r="E1804" s="90" t="s">
        <v>13143</v>
      </c>
      <c r="F1804" s="91">
        <v>46535</v>
      </c>
      <c r="G1804" s="92">
        <v>110229</v>
      </c>
      <c r="H1804" s="90" t="s">
        <v>11</v>
      </c>
      <c r="I18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04" s="90" t="s">
        <v>5985</v>
      </c>
    </row>
    <row r="1805" spans="1:11">
      <c r="A1805" s="90" t="s">
        <v>10173</v>
      </c>
      <c r="B1805" s="90" t="s">
        <v>10174</v>
      </c>
      <c r="C1805" s="90" t="s">
        <v>10</v>
      </c>
      <c r="D1805" s="90" t="str">
        <f>VLOOKUP(Tabela1[[#This Row],[Origem]],'Perguntas 1 a 24'!$J$28:$K$34,2,FALSE)</f>
        <v>Centro-Oeste</v>
      </c>
      <c r="E1805" s="90" t="s">
        <v>13144</v>
      </c>
      <c r="F1805" s="91">
        <v>46535</v>
      </c>
      <c r="G1805" s="92">
        <v>108083</v>
      </c>
      <c r="H1805" s="90" t="s">
        <v>14</v>
      </c>
      <c r="I18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05" s="90" t="s">
        <v>10174</v>
      </c>
    </row>
    <row r="1806" spans="1:11">
      <c r="A1806" s="90" t="s">
        <v>10205</v>
      </c>
      <c r="B1806" s="90" t="s">
        <v>10206</v>
      </c>
      <c r="C1806" s="90" t="s">
        <v>6</v>
      </c>
      <c r="D1806" s="90" t="str">
        <f>VLOOKUP(Tabela1[[#This Row],[Origem]],'Perguntas 1 a 24'!$J$28:$K$34,2,FALSE)</f>
        <v>Nordeste</v>
      </c>
      <c r="E1806" s="90" t="s">
        <v>13145</v>
      </c>
      <c r="F1806" s="91">
        <v>46535</v>
      </c>
      <c r="G1806" s="92">
        <v>95719</v>
      </c>
      <c r="H1806" s="90" t="s">
        <v>7</v>
      </c>
      <c r="I18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06" s="90" t="s">
        <v>10206</v>
      </c>
    </row>
    <row r="1807" spans="1:11">
      <c r="A1807" s="90" t="s">
        <v>5994</v>
      </c>
      <c r="B1807" s="90" t="s">
        <v>5995</v>
      </c>
      <c r="C1807" s="90" t="s">
        <v>8</v>
      </c>
      <c r="D1807" s="90" t="str">
        <f>VLOOKUP(Tabela1[[#This Row],[Origem]],'Perguntas 1 a 24'!$J$28:$K$34,2,FALSE)</f>
        <v>Nordeste</v>
      </c>
      <c r="E1807" s="90" t="s">
        <v>13146</v>
      </c>
      <c r="F1807" s="91">
        <v>46536</v>
      </c>
      <c r="G1807" s="92">
        <v>75489</v>
      </c>
      <c r="H1807" s="90" t="s">
        <v>7</v>
      </c>
      <c r="I18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07" s="90" t="s">
        <v>5995</v>
      </c>
    </row>
    <row r="1808" spans="1:11">
      <c r="A1808" s="90" t="s">
        <v>6018</v>
      </c>
      <c r="B1808" s="90" t="s">
        <v>6019</v>
      </c>
      <c r="C1808" s="90" t="s">
        <v>10</v>
      </c>
      <c r="D1808" s="90" t="str">
        <f>VLOOKUP(Tabela1[[#This Row],[Origem]],'Perguntas 1 a 24'!$J$28:$K$34,2,FALSE)</f>
        <v>Centro-Oeste</v>
      </c>
      <c r="E1808" s="90" t="s">
        <v>13147</v>
      </c>
      <c r="F1808" s="91">
        <v>46537</v>
      </c>
      <c r="G1808" s="92">
        <v>24736</v>
      </c>
      <c r="H1808" s="90" t="s">
        <v>14</v>
      </c>
      <c r="I18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08" s="90" t="s">
        <v>6019</v>
      </c>
    </row>
    <row r="1809" spans="1:11">
      <c r="A1809" s="90" t="s">
        <v>7180</v>
      </c>
      <c r="B1809" s="90" t="s">
        <v>7181</v>
      </c>
      <c r="C1809" s="90" t="s">
        <v>15</v>
      </c>
      <c r="D1809" s="90" t="str">
        <f>VLOOKUP(Tabela1[[#This Row],[Origem]],'Perguntas 1 a 24'!$J$28:$K$34,2,FALSE)</f>
        <v>Sudeste</v>
      </c>
      <c r="E1809" s="90" t="s">
        <v>13148</v>
      </c>
      <c r="F1809" s="91">
        <v>46537</v>
      </c>
      <c r="G1809" s="92">
        <v>43928</v>
      </c>
      <c r="H1809" s="90" t="s">
        <v>7</v>
      </c>
      <c r="I18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09" s="90" t="s">
        <v>7181</v>
      </c>
    </row>
    <row r="1810" spans="1:11">
      <c r="A1810" s="90" t="s">
        <v>7512</v>
      </c>
      <c r="B1810" s="90" t="s">
        <v>7513</v>
      </c>
      <c r="C1810" s="90" t="s">
        <v>13</v>
      </c>
      <c r="D1810" s="90" t="str">
        <f>VLOOKUP(Tabela1[[#This Row],[Origem]],'Perguntas 1 a 24'!$J$28:$K$34,2,FALSE)</f>
        <v>Sudeste</v>
      </c>
      <c r="E1810" s="90" t="s">
        <v>13149</v>
      </c>
      <c r="F1810" s="91">
        <v>46537</v>
      </c>
      <c r="G1810" s="92">
        <v>45235</v>
      </c>
      <c r="H1810" s="90" t="s">
        <v>7</v>
      </c>
      <c r="I18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10" s="90" t="s">
        <v>7513</v>
      </c>
    </row>
    <row r="1811" spans="1:11">
      <c r="A1811" s="90" t="s">
        <v>8969</v>
      </c>
      <c r="B1811" s="90" t="s">
        <v>8970</v>
      </c>
      <c r="C1811" s="90" t="s">
        <v>15</v>
      </c>
      <c r="D1811" s="90" t="str">
        <f>VLOOKUP(Tabela1[[#This Row],[Origem]],'Perguntas 1 a 24'!$J$28:$K$34,2,FALSE)</f>
        <v>Sudeste</v>
      </c>
      <c r="E1811" s="90" t="s">
        <v>13150</v>
      </c>
      <c r="F1811" s="91">
        <v>46537</v>
      </c>
      <c r="G1811" s="92">
        <v>92706</v>
      </c>
      <c r="H1811" s="90" t="s">
        <v>7</v>
      </c>
      <c r="I18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1" s="90" t="s">
        <v>8970</v>
      </c>
    </row>
    <row r="1812" spans="1:11">
      <c r="A1812" s="90" t="s">
        <v>5938</v>
      </c>
      <c r="B1812" s="90" t="s">
        <v>5939</v>
      </c>
      <c r="C1812" s="90" t="s">
        <v>10</v>
      </c>
      <c r="D1812" s="90" t="str">
        <f>VLOOKUP(Tabela1[[#This Row],[Origem]],'Perguntas 1 a 24'!$J$28:$K$34,2,FALSE)</f>
        <v>Centro-Oeste</v>
      </c>
      <c r="E1812" s="90" t="s">
        <v>13151</v>
      </c>
      <c r="F1812" s="91">
        <v>46539</v>
      </c>
      <c r="G1812" s="92">
        <v>91268</v>
      </c>
      <c r="H1812" s="90" t="s">
        <v>11</v>
      </c>
      <c r="I18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2" s="90" t="s">
        <v>5939</v>
      </c>
    </row>
    <row r="1813" spans="1:11">
      <c r="A1813" s="90" t="s">
        <v>6198</v>
      </c>
      <c r="B1813" s="90" t="s">
        <v>6199</v>
      </c>
      <c r="C1813" s="90" t="s">
        <v>6</v>
      </c>
      <c r="D1813" s="90" t="str">
        <f>VLOOKUP(Tabela1[[#This Row],[Origem]],'Perguntas 1 a 24'!$J$28:$K$34,2,FALSE)</f>
        <v>Nordeste</v>
      </c>
      <c r="E1813" s="90" t="s">
        <v>13152</v>
      </c>
      <c r="F1813" s="91">
        <v>46540</v>
      </c>
      <c r="G1813" s="92">
        <v>110335</v>
      </c>
      <c r="H1813" s="90" t="s">
        <v>14</v>
      </c>
      <c r="I18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3" s="90" t="s">
        <v>6199</v>
      </c>
    </row>
    <row r="1814" spans="1:11">
      <c r="A1814" s="90" t="s">
        <v>8689</v>
      </c>
      <c r="B1814" s="90" t="s">
        <v>8690</v>
      </c>
      <c r="C1814" s="90" t="s">
        <v>15</v>
      </c>
      <c r="D1814" s="90" t="str">
        <f>VLOOKUP(Tabela1[[#This Row],[Origem]],'Perguntas 1 a 24'!$J$28:$K$34,2,FALSE)</f>
        <v>Sudeste</v>
      </c>
      <c r="E1814" s="90" t="s">
        <v>13153</v>
      </c>
      <c r="F1814" s="91">
        <v>46540</v>
      </c>
      <c r="G1814" s="92">
        <v>96966</v>
      </c>
      <c r="H1814" s="90" t="s">
        <v>11</v>
      </c>
      <c r="I18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4" s="90" t="s">
        <v>8690</v>
      </c>
    </row>
    <row r="1815" spans="1:11">
      <c r="A1815" s="90" t="s">
        <v>10247</v>
      </c>
      <c r="B1815" s="90" t="s">
        <v>10248</v>
      </c>
      <c r="C1815" s="90" t="s">
        <v>16</v>
      </c>
      <c r="D1815" s="90" t="str">
        <f>VLOOKUP(Tabela1[[#This Row],[Origem]],'Perguntas 1 a 24'!$J$28:$K$34,2,FALSE)</f>
        <v>Sudeste</v>
      </c>
      <c r="E1815" s="90" t="s">
        <v>13154</v>
      </c>
      <c r="F1815" s="91">
        <v>46540</v>
      </c>
      <c r="G1815" s="92">
        <v>66268</v>
      </c>
      <c r="H1815" s="90" t="s">
        <v>9</v>
      </c>
      <c r="I18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5" s="90" t="s">
        <v>10248</v>
      </c>
    </row>
    <row r="1816" spans="1:11">
      <c r="A1816" s="90" t="s">
        <v>8050</v>
      </c>
      <c r="B1816" s="90" t="s">
        <v>8051</v>
      </c>
      <c r="C1816" s="90" t="s">
        <v>13</v>
      </c>
      <c r="D1816" s="90" t="str">
        <f>VLOOKUP(Tabela1[[#This Row],[Origem]],'Perguntas 1 a 24'!$J$28:$K$34,2,FALSE)</f>
        <v>Sudeste</v>
      </c>
      <c r="E1816" s="90" t="s">
        <v>13155</v>
      </c>
      <c r="F1816" s="91">
        <v>46541</v>
      </c>
      <c r="G1816" s="92">
        <v>86053</v>
      </c>
      <c r="H1816" s="90" t="s">
        <v>7</v>
      </c>
      <c r="I18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6" s="90" t="s">
        <v>8051</v>
      </c>
    </row>
    <row r="1817" spans="1:11">
      <c r="A1817" s="90" t="s">
        <v>10627</v>
      </c>
      <c r="B1817" s="90" t="s">
        <v>10628</v>
      </c>
      <c r="C1817" s="90" t="s">
        <v>8</v>
      </c>
      <c r="D1817" s="90" t="str">
        <f>VLOOKUP(Tabela1[[#This Row],[Origem]],'Perguntas 1 a 24'!$J$28:$K$34,2,FALSE)</f>
        <v>Nordeste</v>
      </c>
      <c r="E1817" s="90" t="s">
        <v>13156</v>
      </c>
      <c r="F1817" s="91">
        <v>46541</v>
      </c>
      <c r="G1817" s="92">
        <v>52086</v>
      </c>
      <c r="H1817" s="90" t="s">
        <v>7</v>
      </c>
      <c r="I18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7" s="90" t="s">
        <v>10628</v>
      </c>
    </row>
    <row r="1818" spans="1:11">
      <c r="A1818" s="90" t="s">
        <v>7596</v>
      </c>
      <c r="B1818" s="90" t="s">
        <v>7597</v>
      </c>
      <c r="C1818" s="90" t="s">
        <v>12</v>
      </c>
      <c r="D1818" s="90" t="str">
        <f>VLOOKUP(Tabela1[[#This Row],[Origem]],'Perguntas 1 a 24'!$J$28:$K$34,2,FALSE)</f>
        <v>Sudeste</v>
      </c>
      <c r="E1818" s="90" t="s">
        <v>13157</v>
      </c>
      <c r="F1818" s="91">
        <v>46544</v>
      </c>
      <c r="G1818" s="92">
        <v>77349</v>
      </c>
      <c r="H1818" s="90" t="s">
        <v>9</v>
      </c>
      <c r="I18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8" s="90" t="s">
        <v>7597</v>
      </c>
    </row>
    <row r="1819" spans="1:11">
      <c r="A1819" s="90" t="s">
        <v>4772</v>
      </c>
      <c r="B1819" s="90" t="s">
        <v>4773</v>
      </c>
      <c r="C1819" s="90" t="s">
        <v>10</v>
      </c>
      <c r="D1819" s="90" t="str">
        <f>VLOOKUP(Tabela1[[#This Row],[Origem]],'Perguntas 1 a 24'!$J$28:$K$34,2,FALSE)</f>
        <v>Centro-Oeste</v>
      </c>
      <c r="E1819" s="90" t="s">
        <v>13158</v>
      </c>
      <c r="F1819" s="91">
        <v>46547</v>
      </c>
      <c r="G1819" s="92">
        <v>54989</v>
      </c>
      <c r="H1819" s="90" t="s">
        <v>9</v>
      </c>
      <c r="I18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19" s="90" t="s">
        <v>4773</v>
      </c>
    </row>
    <row r="1820" spans="1:11">
      <c r="A1820" s="90" t="s">
        <v>7356</v>
      </c>
      <c r="B1820" s="90" t="s">
        <v>7357</v>
      </c>
      <c r="C1820" s="90" t="s">
        <v>16</v>
      </c>
      <c r="D1820" s="90" t="str">
        <f>VLOOKUP(Tabela1[[#This Row],[Origem]],'Perguntas 1 a 24'!$J$28:$K$34,2,FALSE)</f>
        <v>Sudeste</v>
      </c>
      <c r="E1820" s="90" t="s">
        <v>13159</v>
      </c>
      <c r="F1820" s="91">
        <v>46547</v>
      </c>
      <c r="G1820" s="92">
        <v>85695</v>
      </c>
      <c r="H1820" s="90" t="s">
        <v>9</v>
      </c>
      <c r="I18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20" s="90" t="s">
        <v>7357</v>
      </c>
    </row>
    <row r="1821" spans="1:11">
      <c r="A1821" s="90" t="s">
        <v>7566</v>
      </c>
      <c r="B1821" s="90" t="s">
        <v>7567</v>
      </c>
      <c r="C1821" s="90" t="s">
        <v>8</v>
      </c>
      <c r="D1821" s="90" t="str">
        <f>VLOOKUP(Tabela1[[#This Row],[Origem]],'Perguntas 1 a 24'!$J$28:$K$34,2,FALSE)</f>
        <v>Nordeste</v>
      </c>
      <c r="E1821" s="90" t="s">
        <v>13160</v>
      </c>
      <c r="F1821" s="91">
        <v>46547</v>
      </c>
      <c r="G1821" s="92">
        <v>74458</v>
      </c>
      <c r="H1821" s="90" t="s">
        <v>7</v>
      </c>
      <c r="I18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21" s="90" t="s">
        <v>7567</v>
      </c>
    </row>
    <row r="1822" spans="1:11">
      <c r="A1822" s="90" t="s">
        <v>7026</v>
      </c>
      <c r="B1822" s="90" t="s">
        <v>7027</v>
      </c>
      <c r="C1822" s="90" t="s">
        <v>15</v>
      </c>
      <c r="D1822" s="90" t="str">
        <f>VLOOKUP(Tabela1[[#This Row],[Origem]],'Perguntas 1 a 24'!$J$28:$K$34,2,FALSE)</f>
        <v>Sudeste</v>
      </c>
      <c r="E1822" s="90" t="s">
        <v>13161</v>
      </c>
      <c r="F1822" s="91">
        <v>46548</v>
      </c>
      <c r="G1822" s="92">
        <v>113477</v>
      </c>
      <c r="H1822" s="90" t="s">
        <v>9</v>
      </c>
      <c r="I18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22" s="90" t="s">
        <v>7027</v>
      </c>
    </row>
    <row r="1823" spans="1:11">
      <c r="A1823" s="90" t="s">
        <v>7246</v>
      </c>
      <c r="B1823" s="90" t="s">
        <v>7247</v>
      </c>
      <c r="C1823" s="90" t="s">
        <v>6</v>
      </c>
      <c r="D1823" s="90" t="str">
        <f>VLOOKUP(Tabela1[[#This Row],[Origem]],'Perguntas 1 a 24'!$J$28:$K$34,2,FALSE)</f>
        <v>Nordeste</v>
      </c>
      <c r="E1823" s="90" t="s">
        <v>13162</v>
      </c>
      <c r="F1823" s="91">
        <v>46548</v>
      </c>
      <c r="G1823" s="92">
        <v>31194</v>
      </c>
      <c r="H1823" s="90" t="s">
        <v>9</v>
      </c>
      <c r="I18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23" s="90" t="s">
        <v>7247</v>
      </c>
    </row>
    <row r="1824" spans="1:11">
      <c r="A1824" s="90" t="s">
        <v>11088</v>
      </c>
      <c r="B1824" s="90" t="s">
        <v>11089</v>
      </c>
      <c r="C1824" s="90" t="s">
        <v>10</v>
      </c>
      <c r="D1824" s="90" t="str">
        <f>VLOOKUP(Tabela1[[#This Row],[Origem]],'Perguntas 1 a 24'!$J$28:$K$34,2,FALSE)</f>
        <v>Centro-Oeste</v>
      </c>
      <c r="E1824" s="90" t="s">
        <v>13163</v>
      </c>
      <c r="F1824" s="91">
        <v>46548</v>
      </c>
      <c r="G1824" s="92">
        <v>38404</v>
      </c>
      <c r="H1824" s="90" t="s">
        <v>14</v>
      </c>
      <c r="I18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24" s="90" t="s">
        <v>11089</v>
      </c>
    </row>
    <row r="1825" spans="1:11">
      <c r="A1825" s="90" t="s">
        <v>6066</v>
      </c>
      <c r="B1825" s="90" t="s">
        <v>6067</v>
      </c>
      <c r="C1825" s="90" t="s">
        <v>10</v>
      </c>
      <c r="D1825" s="90" t="str">
        <f>VLOOKUP(Tabela1[[#This Row],[Origem]],'Perguntas 1 a 24'!$J$28:$K$34,2,FALSE)</f>
        <v>Centro-Oeste</v>
      </c>
      <c r="E1825" s="90" t="s">
        <v>13164</v>
      </c>
      <c r="F1825" s="91">
        <v>46549</v>
      </c>
      <c r="G1825" s="92">
        <v>86871</v>
      </c>
      <c r="H1825" s="90" t="s">
        <v>11</v>
      </c>
      <c r="I18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25" s="90" t="s">
        <v>6067</v>
      </c>
    </row>
    <row r="1826" spans="1:11">
      <c r="A1826" s="90" t="s">
        <v>6596</v>
      </c>
      <c r="B1826" s="90" t="s">
        <v>6597</v>
      </c>
      <c r="C1826" s="90" t="s">
        <v>16</v>
      </c>
      <c r="D1826" s="90" t="str">
        <f>VLOOKUP(Tabela1[[#This Row],[Origem]],'Perguntas 1 a 24'!$J$28:$K$34,2,FALSE)</f>
        <v>Sudeste</v>
      </c>
      <c r="E1826" s="90" t="s">
        <v>13165</v>
      </c>
      <c r="F1826" s="91">
        <v>46549</v>
      </c>
      <c r="G1826" s="92">
        <v>88123</v>
      </c>
      <c r="H1826" s="90" t="s">
        <v>9</v>
      </c>
      <c r="I18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26" s="90" t="s">
        <v>6597</v>
      </c>
    </row>
    <row r="1827" spans="1:11">
      <c r="A1827" s="90" t="s">
        <v>7668</v>
      </c>
      <c r="B1827" s="90" t="s">
        <v>7669</v>
      </c>
      <c r="C1827" s="90" t="s">
        <v>12</v>
      </c>
      <c r="D1827" s="90" t="str">
        <f>VLOOKUP(Tabela1[[#This Row],[Origem]],'Perguntas 1 a 24'!$J$28:$K$34,2,FALSE)</f>
        <v>Sudeste</v>
      </c>
      <c r="E1827" s="90" t="s">
        <v>13166</v>
      </c>
      <c r="F1827" s="91">
        <v>46549</v>
      </c>
      <c r="G1827" s="92">
        <v>25303</v>
      </c>
      <c r="H1827" s="90" t="s">
        <v>7</v>
      </c>
      <c r="I18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27" s="90" t="s">
        <v>7669</v>
      </c>
    </row>
    <row r="1828" spans="1:11">
      <c r="A1828" s="90" t="s">
        <v>10597</v>
      </c>
      <c r="B1828" s="90" t="s">
        <v>10598</v>
      </c>
      <c r="C1828" s="90" t="s">
        <v>13</v>
      </c>
      <c r="D1828" s="90" t="str">
        <f>VLOOKUP(Tabela1[[#This Row],[Origem]],'Perguntas 1 a 24'!$J$28:$K$34,2,FALSE)</f>
        <v>Sudeste</v>
      </c>
      <c r="E1828" s="90" t="s">
        <v>13167</v>
      </c>
      <c r="F1828" s="91">
        <v>46549</v>
      </c>
      <c r="G1828" s="92">
        <v>55149</v>
      </c>
      <c r="H1828" s="90" t="s">
        <v>14</v>
      </c>
      <c r="I18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28" s="90" t="s">
        <v>10598</v>
      </c>
    </row>
    <row r="1829" spans="1:11">
      <c r="A1829" s="90" t="s">
        <v>7304</v>
      </c>
      <c r="B1829" s="90" t="s">
        <v>7305</v>
      </c>
      <c r="C1829" s="90" t="s">
        <v>8</v>
      </c>
      <c r="D1829" s="90" t="str">
        <f>VLOOKUP(Tabela1[[#This Row],[Origem]],'Perguntas 1 a 24'!$J$28:$K$34,2,FALSE)</f>
        <v>Nordeste</v>
      </c>
      <c r="E1829" s="90" t="s">
        <v>13168</v>
      </c>
      <c r="F1829" s="91">
        <v>46551</v>
      </c>
      <c r="G1829" s="92">
        <v>57501</v>
      </c>
      <c r="H1829" s="90" t="s">
        <v>9</v>
      </c>
      <c r="I18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29" s="90" t="s">
        <v>7305</v>
      </c>
    </row>
    <row r="1830" spans="1:11">
      <c r="A1830" s="90" t="s">
        <v>4217</v>
      </c>
      <c r="B1830" s="90" t="s">
        <v>4218</v>
      </c>
      <c r="C1830" s="90" t="s">
        <v>13</v>
      </c>
      <c r="D1830" s="90" t="str">
        <f>VLOOKUP(Tabela1[[#This Row],[Origem]],'Perguntas 1 a 24'!$J$28:$K$34,2,FALSE)</f>
        <v>Sudeste</v>
      </c>
      <c r="E1830" s="90" t="s">
        <v>13169</v>
      </c>
      <c r="F1830" s="91">
        <v>46553</v>
      </c>
      <c r="G1830" s="92">
        <v>61505</v>
      </c>
      <c r="H1830" s="90" t="s">
        <v>7</v>
      </c>
      <c r="I18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30" s="90" t="s">
        <v>4218</v>
      </c>
    </row>
    <row r="1831" spans="1:11">
      <c r="A1831" s="90" t="s">
        <v>5226</v>
      </c>
      <c r="B1831" s="90" t="s">
        <v>5227</v>
      </c>
      <c r="C1831" s="90" t="s">
        <v>12</v>
      </c>
      <c r="D1831" s="90" t="str">
        <f>VLOOKUP(Tabela1[[#This Row],[Origem]],'Perguntas 1 a 24'!$J$28:$K$34,2,FALSE)</f>
        <v>Sudeste</v>
      </c>
      <c r="E1831" s="90" t="s">
        <v>13170</v>
      </c>
      <c r="F1831" s="91">
        <v>46554</v>
      </c>
      <c r="G1831" s="92">
        <v>44395</v>
      </c>
      <c r="H1831" s="90" t="s">
        <v>14</v>
      </c>
      <c r="I18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31" s="90" t="s">
        <v>5227</v>
      </c>
    </row>
    <row r="1832" spans="1:11">
      <c r="A1832" s="90" t="s">
        <v>6090</v>
      </c>
      <c r="B1832" s="90" t="s">
        <v>6091</v>
      </c>
      <c r="C1832" s="90" t="s">
        <v>13</v>
      </c>
      <c r="D1832" s="90" t="str">
        <f>VLOOKUP(Tabela1[[#This Row],[Origem]],'Perguntas 1 a 24'!$J$28:$K$34,2,FALSE)</f>
        <v>Sudeste</v>
      </c>
      <c r="E1832" s="90" t="s">
        <v>13171</v>
      </c>
      <c r="F1832" s="91">
        <v>46554</v>
      </c>
      <c r="G1832" s="92">
        <v>100867</v>
      </c>
      <c r="H1832" s="90" t="s">
        <v>14</v>
      </c>
      <c r="I18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32" s="90" t="s">
        <v>6091</v>
      </c>
    </row>
    <row r="1833" spans="1:11">
      <c r="A1833" s="90" t="s">
        <v>6144</v>
      </c>
      <c r="B1833" s="90" t="s">
        <v>6145</v>
      </c>
      <c r="C1833" s="90" t="s">
        <v>6</v>
      </c>
      <c r="D1833" s="90" t="str">
        <f>VLOOKUP(Tabela1[[#This Row],[Origem]],'Perguntas 1 a 24'!$J$28:$K$34,2,FALSE)</f>
        <v>Nordeste</v>
      </c>
      <c r="E1833" s="90" t="s">
        <v>13172</v>
      </c>
      <c r="F1833" s="91">
        <v>46554</v>
      </c>
      <c r="G1833" s="92">
        <v>98234</v>
      </c>
      <c r="H1833" s="90" t="s">
        <v>11</v>
      </c>
      <c r="I18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33" s="90" t="s">
        <v>6145</v>
      </c>
    </row>
    <row r="1834" spans="1:11">
      <c r="A1834" s="90" t="s">
        <v>9191</v>
      </c>
      <c r="B1834" s="90" t="s">
        <v>9192</v>
      </c>
      <c r="C1834" s="90" t="s">
        <v>6</v>
      </c>
      <c r="D1834" s="90" t="str">
        <f>VLOOKUP(Tabela1[[#This Row],[Origem]],'Perguntas 1 a 24'!$J$28:$K$34,2,FALSE)</f>
        <v>Nordeste</v>
      </c>
      <c r="E1834" s="90" t="s">
        <v>13173</v>
      </c>
      <c r="F1834" s="91">
        <v>46555</v>
      </c>
      <c r="G1834" s="92">
        <v>106448</v>
      </c>
      <c r="H1834" s="90" t="s">
        <v>11</v>
      </c>
      <c r="I18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34" s="90" t="s">
        <v>9192</v>
      </c>
    </row>
    <row r="1835" spans="1:11">
      <c r="A1835" s="90" t="s">
        <v>7392</v>
      </c>
      <c r="B1835" s="90" t="s">
        <v>7393</v>
      </c>
      <c r="C1835" s="90" t="s">
        <v>15</v>
      </c>
      <c r="D1835" s="90" t="str">
        <f>VLOOKUP(Tabela1[[#This Row],[Origem]],'Perguntas 1 a 24'!$J$28:$K$34,2,FALSE)</f>
        <v>Sudeste</v>
      </c>
      <c r="E1835" s="90" t="s">
        <v>13174</v>
      </c>
      <c r="F1835" s="91">
        <v>46556</v>
      </c>
      <c r="G1835" s="92">
        <v>111362</v>
      </c>
      <c r="H1835" s="90" t="s">
        <v>7</v>
      </c>
      <c r="I18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35" s="90" t="s">
        <v>7393</v>
      </c>
    </row>
    <row r="1836" spans="1:11">
      <c r="A1836" s="90" t="s">
        <v>4359</v>
      </c>
      <c r="B1836" s="90" t="s">
        <v>4360</v>
      </c>
      <c r="C1836" s="90" t="s">
        <v>15</v>
      </c>
      <c r="D1836" s="90" t="str">
        <f>VLOOKUP(Tabela1[[#This Row],[Origem]],'Perguntas 1 a 24'!$J$28:$K$34,2,FALSE)</f>
        <v>Sudeste</v>
      </c>
      <c r="E1836" s="90" t="s">
        <v>13175</v>
      </c>
      <c r="F1836" s="91">
        <v>46557</v>
      </c>
      <c r="G1836" s="92">
        <v>100300</v>
      </c>
      <c r="H1836" s="90" t="s">
        <v>9</v>
      </c>
      <c r="I18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36" s="90" t="s">
        <v>4360</v>
      </c>
    </row>
    <row r="1837" spans="1:11">
      <c r="A1837" s="90" t="s">
        <v>7682</v>
      </c>
      <c r="B1837" s="90" t="s">
        <v>7683</v>
      </c>
      <c r="C1837" s="90" t="s">
        <v>10</v>
      </c>
      <c r="D1837" s="90" t="str">
        <f>VLOOKUP(Tabela1[[#This Row],[Origem]],'Perguntas 1 a 24'!$J$28:$K$34,2,FALSE)</f>
        <v>Centro-Oeste</v>
      </c>
      <c r="E1837" s="90" t="s">
        <v>13176</v>
      </c>
      <c r="F1837" s="91">
        <v>46557</v>
      </c>
      <c r="G1837" s="92">
        <v>37698</v>
      </c>
      <c r="H1837" s="90" t="s">
        <v>7</v>
      </c>
      <c r="I18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37" s="90" t="s">
        <v>7683</v>
      </c>
    </row>
    <row r="1838" spans="1:11">
      <c r="A1838" s="90" t="s">
        <v>7084</v>
      </c>
      <c r="B1838" s="90" t="s">
        <v>7085</v>
      </c>
      <c r="C1838" s="90" t="s">
        <v>16</v>
      </c>
      <c r="D1838" s="90" t="str">
        <f>VLOOKUP(Tabela1[[#This Row],[Origem]],'Perguntas 1 a 24'!$J$28:$K$34,2,FALSE)</f>
        <v>Sudeste</v>
      </c>
      <c r="E1838" s="90" t="s">
        <v>13177</v>
      </c>
      <c r="F1838" s="91">
        <v>46558</v>
      </c>
      <c r="G1838" s="92">
        <v>97060</v>
      </c>
      <c r="H1838" s="90" t="s">
        <v>14</v>
      </c>
      <c r="I18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38" s="90" t="s">
        <v>7085</v>
      </c>
    </row>
    <row r="1839" spans="1:11">
      <c r="A1839" s="90" t="s">
        <v>10251</v>
      </c>
      <c r="B1839" s="90" t="s">
        <v>10252</v>
      </c>
      <c r="C1839" s="90" t="s">
        <v>13</v>
      </c>
      <c r="D1839" s="90" t="str">
        <f>VLOOKUP(Tabela1[[#This Row],[Origem]],'Perguntas 1 a 24'!$J$28:$K$34,2,FALSE)</f>
        <v>Sudeste</v>
      </c>
      <c r="E1839" s="90" t="s">
        <v>13178</v>
      </c>
      <c r="F1839" s="91">
        <v>46558</v>
      </c>
      <c r="G1839" s="92">
        <v>52851</v>
      </c>
      <c r="H1839" s="90" t="s">
        <v>7</v>
      </c>
      <c r="I18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39" s="90" t="s">
        <v>10252</v>
      </c>
    </row>
    <row r="1840" spans="1:11">
      <c r="A1840" s="90" t="s">
        <v>10980</v>
      </c>
      <c r="B1840" s="90" t="s">
        <v>10981</v>
      </c>
      <c r="C1840" s="90" t="s">
        <v>6</v>
      </c>
      <c r="D1840" s="90" t="str">
        <f>VLOOKUP(Tabela1[[#This Row],[Origem]],'Perguntas 1 a 24'!$J$28:$K$34,2,FALSE)</f>
        <v>Nordeste</v>
      </c>
      <c r="E1840" s="90" t="s">
        <v>13179</v>
      </c>
      <c r="F1840" s="91">
        <v>46558</v>
      </c>
      <c r="G1840" s="92">
        <v>34868</v>
      </c>
      <c r="H1840" s="90" t="s">
        <v>9</v>
      </c>
      <c r="I18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40" s="90" t="s">
        <v>10981</v>
      </c>
    </row>
    <row r="1841" spans="1:11">
      <c r="A1841" s="90" t="s">
        <v>7658</v>
      </c>
      <c r="B1841" s="90" t="s">
        <v>7659</v>
      </c>
      <c r="C1841" s="90" t="s">
        <v>8</v>
      </c>
      <c r="D1841" s="90" t="str">
        <f>VLOOKUP(Tabela1[[#This Row],[Origem]],'Perguntas 1 a 24'!$J$28:$K$34,2,FALSE)</f>
        <v>Nordeste</v>
      </c>
      <c r="E1841" s="90" t="s">
        <v>13180</v>
      </c>
      <c r="F1841" s="91">
        <v>46561</v>
      </c>
      <c r="G1841" s="92">
        <v>80632</v>
      </c>
      <c r="H1841" s="90" t="s">
        <v>9</v>
      </c>
      <c r="I18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41" s="90" t="s">
        <v>7659</v>
      </c>
    </row>
    <row r="1842" spans="1:11">
      <c r="A1842" s="90" t="s">
        <v>9255</v>
      </c>
      <c r="B1842" s="90" t="s">
        <v>9256</v>
      </c>
      <c r="C1842" s="90" t="s">
        <v>6</v>
      </c>
      <c r="D1842" s="90" t="str">
        <f>VLOOKUP(Tabela1[[#This Row],[Origem]],'Perguntas 1 a 24'!$J$28:$K$34,2,FALSE)</f>
        <v>Nordeste</v>
      </c>
      <c r="E1842" s="90" t="s">
        <v>13181</v>
      </c>
      <c r="F1842" s="91">
        <v>46562</v>
      </c>
      <c r="G1842" s="92">
        <v>85836</v>
      </c>
      <c r="H1842" s="90" t="s">
        <v>9</v>
      </c>
      <c r="I18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42" s="90" t="s">
        <v>9256</v>
      </c>
    </row>
    <row r="1843" spans="1:11">
      <c r="A1843" s="90" t="s">
        <v>9193</v>
      </c>
      <c r="B1843" s="90" t="s">
        <v>9194</v>
      </c>
      <c r="C1843" s="90" t="s">
        <v>6</v>
      </c>
      <c r="D1843" s="90" t="str">
        <f>VLOOKUP(Tabela1[[#This Row],[Origem]],'Perguntas 1 a 24'!$J$28:$K$34,2,FALSE)</f>
        <v>Nordeste</v>
      </c>
      <c r="E1843" s="90" t="s">
        <v>13182</v>
      </c>
      <c r="F1843" s="91">
        <v>46563</v>
      </c>
      <c r="G1843" s="92">
        <v>92570</v>
      </c>
      <c r="H1843" s="90" t="s">
        <v>11</v>
      </c>
      <c r="I18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43" s="90" t="s">
        <v>9194</v>
      </c>
    </row>
    <row r="1844" spans="1:11">
      <c r="A1844" s="90" t="s">
        <v>10193</v>
      </c>
      <c r="B1844" s="90" t="s">
        <v>10194</v>
      </c>
      <c r="C1844" s="90" t="s">
        <v>10</v>
      </c>
      <c r="D1844" s="90" t="str">
        <f>VLOOKUP(Tabela1[[#This Row],[Origem]],'Perguntas 1 a 24'!$J$28:$K$34,2,FALSE)</f>
        <v>Centro-Oeste</v>
      </c>
      <c r="E1844" s="90" t="s">
        <v>13183</v>
      </c>
      <c r="F1844" s="91">
        <v>46563</v>
      </c>
      <c r="G1844" s="92">
        <v>105790</v>
      </c>
      <c r="H1844" s="90" t="s">
        <v>14</v>
      </c>
      <c r="I18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44" s="90" t="s">
        <v>10194</v>
      </c>
    </row>
    <row r="1845" spans="1:11">
      <c r="A1845" s="90" t="s">
        <v>10487</v>
      </c>
      <c r="B1845" s="90" t="s">
        <v>10488</v>
      </c>
      <c r="C1845" s="90" t="s">
        <v>10</v>
      </c>
      <c r="D1845" s="90" t="str">
        <f>VLOOKUP(Tabela1[[#This Row],[Origem]],'Perguntas 1 a 24'!$J$28:$K$34,2,FALSE)</f>
        <v>Centro-Oeste</v>
      </c>
      <c r="E1845" s="90" t="s">
        <v>13184</v>
      </c>
      <c r="F1845" s="91">
        <v>46563</v>
      </c>
      <c r="G1845" s="92">
        <v>33425</v>
      </c>
      <c r="H1845" s="90" t="s">
        <v>11</v>
      </c>
      <c r="I18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45" s="90" t="s">
        <v>10488</v>
      </c>
    </row>
    <row r="1846" spans="1:11">
      <c r="A1846" s="90" t="s">
        <v>3860</v>
      </c>
      <c r="B1846" s="90" t="s">
        <v>3861</v>
      </c>
      <c r="C1846" s="90" t="s">
        <v>15</v>
      </c>
      <c r="D1846" s="90" t="str">
        <f>VLOOKUP(Tabela1[[#This Row],[Origem]],'Perguntas 1 a 24'!$J$28:$K$34,2,FALSE)</f>
        <v>Sudeste</v>
      </c>
      <c r="E1846" s="90" t="s">
        <v>13185</v>
      </c>
      <c r="F1846" s="91">
        <v>46565</v>
      </c>
      <c r="G1846" s="92">
        <v>111992</v>
      </c>
      <c r="H1846" s="90" t="s">
        <v>7</v>
      </c>
      <c r="I18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46" s="90" t="s">
        <v>3861</v>
      </c>
    </row>
    <row r="1847" spans="1:11">
      <c r="A1847" s="90" t="s">
        <v>6330</v>
      </c>
      <c r="B1847" s="90" t="s">
        <v>6331</v>
      </c>
      <c r="C1847" s="90" t="s">
        <v>16</v>
      </c>
      <c r="D1847" s="90" t="str">
        <f>VLOOKUP(Tabela1[[#This Row],[Origem]],'Perguntas 1 a 24'!$J$28:$K$34,2,FALSE)</f>
        <v>Sudeste</v>
      </c>
      <c r="E1847" s="90" t="s">
        <v>13186</v>
      </c>
      <c r="F1847" s="91">
        <v>46566</v>
      </c>
      <c r="G1847" s="92">
        <v>73336</v>
      </c>
      <c r="H1847" s="90" t="s">
        <v>11</v>
      </c>
      <c r="I18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47" s="90" t="s">
        <v>6331</v>
      </c>
    </row>
    <row r="1848" spans="1:11">
      <c r="A1848" s="90" t="s">
        <v>6802</v>
      </c>
      <c r="B1848" s="90" t="s">
        <v>6803</v>
      </c>
      <c r="C1848" s="90" t="s">
        <v>6</v>
      </c>
      <c r="D1848" s="90" t="str">
        <f>VLOOKUP(Tabela1[[#This Row],[Origem]],'Perguntas 1 a 24'!$J$28:$K$34,2,FALSE)</f>
        <v>Nordeste</v>
      </c>
      <c r="E1848" s="90" t="s">
        <v>13187</v>
      </c>
      <c r="F1848" s="91">
        <v>46566</v>
      </c>
      <c r="G1848" s="92">
        <v>70875</v>
      </c>
      <c r="H1848" s="90" t="s">
        <v>11</v>
      </c>
      <c r="I18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48" s="90" t="s">
        <v>6803</v>
      </c>
    </row>
    <row r="1849" spans="1:11">
      <c r="A1849" s="90" t="s">
        <v>7444</v>
      </c>
      <c r="B1849" s="90" t="s">
        <v>7445</v>
      </c>
      <c r="C1849" s="90" t="s">
        <v>15</v>
      </c>
      <c r="D1849" s="90" t="str">
        <f>VLOOKUP(Tabela1[[#This Row],[Origem]],'Perguntas 1 a 24'!$J$28:$K$34,2,FALSE)</f>
        <v>Sudeste</v>
      </c>
      <c r="E1849" s="90" t="s">
        <v>13188</v>
      </c>
      <c r="F1849" s="91">
        <v>46567</v>
      </c>
      <c r="G1849" s="92">
        <v>71988</v>
      </c>
      <c r="H1849" s="90" t="s">
        <v>11</v>
      </c>
      <c r="I18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49" s="90" t="s">
        <v>7445</v>
      </c>
    </row>
    <row r="1850" spans="1:11">
      <c r="A1850" s="90" t="s">
        <v>7908</v>
      </c>
      <c r="B1850" s="90" t="s">
        <v>7909</v>
      </c>
      <c r="C1850" s="90" t="s">
        <v>8</v>
      </c>
      <c r="D1850" s="90" t="str">
        <f>VLOOKUP(Tabela1[[#This Row],[Origem]],'Perguntas 1 a 24'!$J$28:$K$34,2,FALSE)</f>
        <v>Nordeste</v>
      </c>
      <c r="E1850" s="90" t="s">
        <v>13189</v>
      </c>
      <c r="F1850" s="91">
        <v>46567</v>
      </c>
      <c r="G1850" s="92">
        <v>67216</v>
      </c>
      <c r="H1850" s="90" t="s">
        <v>9</v>
      </c>
      <c r="I18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50" s="90" t="s">
        <v>7909</v>
      </c>
    </row>
    <row r="1851" spans="1:11">
      <c r="A1851" s="90" t="s">
        <v>9597</v>
      </c>
      <c r="B1851" s="90" t="s">
        <v>9598</v>
      </c>
      <c r="C1851" s="90" t="s">
        <v>6</v>
      </c>
      <c r="D1851" s="90" t="str">
        <f>VLOOKUP(Tabela1[[#This Row],[Origem]],'Perguntas 1 a 24'!$J$28:$K$34,2,FALSE)</f>
        <v>Nordeste</v>
      </c>
      <c r="E1851" s="90" t="s">
        <v>13190</v>
      </c>
      <c r="F1851" s="91">
        <v>46567</v>
      </c>
      <c r="G1851" s="92">
        <v>41802</v>
      </c>
      <c r="H1851" s="90" t="s">
        <v>7</v>
      </c>
      <c r="I18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51" s="90" t="s">
        <v>9598</v>
      </c>
    </row>
    <row r="1852" spans="1:11">
      <c r="A1852" s="90" t="s">
        <v>5832</v>
      </c>
      <c r="B1852" s="90" t="s">
        <v>5833</v>
      </c>
      <c r="C1852" s="90" t="s">
        <v>8</v>
      </c>
      <c r="D1852" s="90" t="str">
        <f>VLOOKUP(Tabela1[[#This Row],[Origem]],'Perguntas 1 a 24'!$J$28:$K$34,2,FALSE)</f>
        <v>Nordeste</v>
      </c>
      <c r="E1852" s="90" t="s">
        <v>13191</v>
      </c>
      <c r="F1852" s="91">
        <v>46568</v>
      </c>
      <c r="G1852" s="92">
        <v>62858</v>
      </c>
      <c r="H1852" s="90" t="s">
        <v>9</v>
      </c>
      <c r="I18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52" s="90" t="s">
        <v>5833</v>
      </c>
    </row>
    <row r="1853" spans="1:11">
      <c r="A1853" s="90" t="s">
        <v>9553</v>
      </c>
      <c r="B1853" s="90" t="s">
        <v>9554</v>
      </c>
      <c r="C1853" s="90" t="s">
        <v>12</v>
      </c>
      <c r="D1853" s="90" t="str">
        <f>VLOOKUP(Tabela1[[#This Row],[Origem]],'Perguntas 1 a 24'!$J$28:$K$34,2,FALSE)</f>
        <v>Sudeste</v>
      </c>
      <c r="E1853" s="90" t="s">
        <v>13192</v>
      </c>
      <c r="F1853" s="91">
        <v>46569</v>
      </c>
      <c r="G1853" s="92">
        <v>26609</v>
      </c>
      <c r="H1853" s="90" t="s">
        <v>7</v>
      </c>
      <c r="I18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53" s="90" t="s">
        <v>9554</v>
      </c>
    </row>
    <row r="1854" spans="1:11">
      <c r="A1854" s="90" t="s">
        <v>4938</v>
      </c>
      <c r="B1854" s="90" t="s">
        <v>4939</v>
      </c>
      <c r="C1854" s="90" t="s">
        <v>16</v>
      </c>
      <c r="D1854" s="90" t="str">
        <f>VLOOKUP(Tabela1[[#This Row],[Origem]],'Perguntas 1 a 24'!$J$28:$K$34,2,FALSE)</f>
        <v>Sudeste</v>
      </c>
      <c r="E1854" s="90" t="s">
        <v>13193</v>
      </c>
      <c r="F1854" s="91">
        <v>46570</v>
      </c>
      <c r="G1854" s="92">
        <v>117822</v>
      </c>
      <c r="H1854" s="90" t="s">
        <v>11</v>
      </c>
      <c r="I18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54" s="90" t="s">
        <v>4939</v>
      </c>
    </row>
    <row r="1855" spans="1:11">
      <c r="A1855" s="90" t="s">
        <v>5456</v>
      </c>
      <c r="B1855" s="90" t="s">
        <v>5457</v>
      </c>
      <c r="C1855" s="90" t="s">
        <v>16</v>
      </c>
      <c r="D1855" s="90" t="str">
        <f>VLOOKUP(Tabela1[[#This Row],[Origem]],'Perguntas 1 a 24'!$J$28:$K$34,2,FALSE)</f>
        <v>Sudeste</v>
      </c>
      <c r="E1855" s="90" t="s">
        <v>13194</v>
      </c>
      <c r="F1855" s="91">
        <v>46571</v>
      </c>
      <c r="G1855" s="92">
        <v>78767</v>
      </c>
      <c r="H1855" s="90" t="s">
        <v>14</v>
      </c>
      <c r="I18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55" s="90" t="s">
        <v>5457</v>
      </c>
    </row>
    <row r="1856" spans="1:11">
      <c r="A1856" s="90" t="s">
        <v>6742</v>
      </c>
      <c r="B1856" s="90" t="s">
        <v>6743</v>
      </c>
      <c r="C1856" s="90" t="s">
        <v>16</v>
      </c>
      <c r="D1856" s="90" t="str">
        <f>VLOOKUP(Tabela1[[#This Row],[Origem]],'Perguntas 1 a 24'!$J$28:$K$34,2,FALSE)</f>
        <v>Sudeste</v>
      </c>
      <c r="E1856" s="90" t="s">
        <v>13195</v>
      </c>
      <c r="F1856" s="91">
        <v>46571</v>
      </c>
      <c r="G1856" s="92">
        <v>113442</v>
      </c>
      <c r="H1856" s="90" t="s">
        <v>9</v>
      </c>
      <c r="I18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56" s="90" t="s">
        <v>6743</v>
      </c>
    </row>
    <row r="1857" spans="1:11">
      <c r="A1857" s="90" t="s">
        <v>11086</v>
      </c>
      <c r="B1857" s="90" t="s">
        <v>11087</v>
      </c>
      <c r="C1857" s="90" t="s">
        <v>16</v>
      </c>
      <c r="D1857" s="90" t="str">
        <f>VLOOKUP(Tabela1[[#This Row],[Origem]],'Perguntas 1 a 24'!$J$28:$K$34,2,FALSE)</f>
        <v>Sudeste</v>
      </c>
      <c r="E1857" s="90" t="s">
        <v>13196</v>
      </c>
      <c r="F1857" s="91">
        <v>46571</v>
      </c>
      <c r="G1857" s="92">
        <v>107888</v>
      </c>
      <c r="H1857" s="90" t="s">
        <v>11</v>
      </c>
      <c r="I18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57" s="90" t="s">
        <v>11087</v>
      </c>
    </row>
    <row r="1858" spans="1:11">
      <c r="A1858" s="90" t="s">
        <v>8002</v>
      </c>
      <c r="B1858" s="90" t="s">
        <v>8003</v>
      </c>
      <c r="C1858" s="90" t="s">
        <v>16</v>
      </c>
      <c r="D1858" s="90" t="str">
        <f>VLOOKUP(Tabela1[[#This Row],[Origem]],'Perguntas 1 a 24'!$J$28:$K$34,2,FALSE)</f>
        <v>Sudeste</v>
      </c>
      <c r="E1858" s="90" t="s">
        <v>13197</v>
      </c>
      <c r="F1858" s="91">
        <v>46573</v>
      </c>
      <c r="G1858" s="92">
        <v>86094</v>
      </c>
      <c r="H1858" s="90" t="s">
        <v>14</v>
      </c>
      <c r="I18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58" s="90" t="s">
        <v>8003</v>
      </c>
    </row>
    <row r="1859" spans="1:11">
      <c r="A1859" s="90" t="s">
        <v>10061</v>
      </c>
      <c r="B1859" s="90" t="s">
        <v>10062</v>
      </c>
      <c r="C1859" s="90" t="s">
        <v>13</v>
      </c>
      <c r="D1859" s="90" t="str">
        <f>VLOOKUP(Tabela1[[#This Row],[Origem]],'Perguntas 1 a 24'!$J$28:$K$34,2,FALSE)</f>
        <v>Sudeste</v>
      </c>
      <c r="E1859" s="90" t="s">
        <v>13198</v>
      </c>
      <c r="F1859" s="91">
        <v>46573</v>
      </c>
      <c r="G1859" s="92">
        <v>85672</v>
      </c>
      <c r="H1859" s="90" t="s">
        <v>7</v>
      </c>
      <c r="I18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59" s="90" t="s">
        <v>10062</v>
      </c>
    </row>
    <row r="1860" spans="1:11">
      <c r="A1860" s="90" t="s">
        <v>9803</v>
      </c>
      <c r="B1860" s="90" t="s">
        <v>9804</v>
      </c>
      <c r="C1860" s="90" t="s">
        <v>10</v>
      </c>
      <c r="D1860" s="90" t="str">
        <f>VLOOKUP(Tabela1[[#This Row],[Origem]],'Perguntas 1 a 24'!$J$28:$K$34,2,FALSE)</f>
        <v>Centro-Oeste</v>
      </c>
      <c r="E1860" s="90" t="s">
        <v>13199</v>
      </c>
      <c r="F1860" s="91">
        <v>46574</v>
      </c>
      <c r="G1860" s="92">
        <v>88313</v>
      </c>
      <c r="H1860" s="90" t="s">
        <v>9</v>
      </c>
      <c r="I18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60" s="90" t="s">
        <v>9804</v>
      </c>
    </row>
    <row r="1861" spans="1:11">
      <c r="A1861" s="90" t="s">
        <v>5326</v>
      </c>
      <c r="B1861" s="90" t="s">
        <v>5327</v>
      </c>
      <c r="C1861" s="90" t="s">
        <v>12</v>
      </c>
      <c r="D1861" s="90" t="str">
        <f>VLOOKUP(Tabela1[[#This Row],[Origem]],'Perguntas 1 a 24'!$J$28:$K$34,2,FALSE)</f>
        <v>Sudeste</v>
      </c>
      <c r="E1861" s="90" t="s">
        <v>13200</v>
      </c>
      <c r="F1861" s="91">
        <v>46575</v>
      </c>
      <c r="G1861" s="92">
        <v>89921</v>
      </c>
      <c r="H1861" s="90" t="s">
        <v>14</v>
      </c>
      <c r="I18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61" s="90" t="s">
        <v>5327</v>
      </c>
    </row>
    <row r="1862" spans="1:11">
      <c r="A1862" s="90" t="s">
        <v>5446</v>
      </c>
      <c r="B1862" s="90" t="s">
        <v>5447</v>
      </c>
      <c r="C1862" s="90" t="s">
        <v>6</v>
      </c>
      <c r="D1862" s="90" t="str">
        <f>VLOOKUP(Tabela1[[#This Row],[Origem]],'Perguntas 1 a 24'!$J$28:$K$34,2,FALSE)</f>
        <v>Nordeste</v>
      </c>
      <c r="E1862" s="90" t="s">
        <v>13201</v>
      </c>
      <c r="F1862" s="91">
        <v>46575</v>
      </c>
      <c r="G1862" s="92">
        <v>108519</v>
      </c>
      <c r="H1862" s="90" t="s">
        <v>11</v>
      </c>
      <c r="I18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62" s="90" t="s">
        <v>5447</v>
      </c>
    </row>
    <row r="1863" spans="1:11">
      <c r="A1863" s="90" t="s">
        <v>5394</v>
      </c>
      <c r="B1863" s="90" t="s">
        <v>5395</v>
      </c>
      <c r="C1863" s="90" t="s">
        <v>15</v>
      </c>
      <c r="D1863" s="90" t="str">
        <f>VLOOKUP(Tabela1[[#This Row],[Origem]],'Perguntas 1 a 24'!$J$28:$K$34,2,FALSE)</f>
        <v>Sudeste</v>
      </c>
      <c r="E1863" s="90" t="s">
        <v>13202</v>
      </c>
      <c r="F1863" s="91">
        <v>46577</v>
      </c>
      <c r="G1863" s="92">
        <v>55797</v>
      </c>
      <c r="H1863" s="90" t="s">
        <v>14</v>
      </c>
      <c r="I18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63" s="90" t="s">
        <v>5395</v>
      </c>
    </row>
    <row r="1864" spans="1:11">
      <c r="A1864" s="90" t="s">
        <v>5368</v>
      </c>
      <c r="B1864" s="90" t="s">
        <v>5369</v>
      </c>
      <c r="C1864" s="90" t="s">
        <v>8</v>
      </c>
      <c r="D1864" s="90" t="str">
        <f>VLOOKUP(Tabela1[[#This Row],[Origem]],'Perguntas 1 a 24'!$J$28:$K$34,2,FALSE)</f>
        <v>Nordeste</v>
      </c>
      <c r="E1864" s="90" t="s">
        <v>13203</v>
      </c>
      <c r="F1864" s="91">
        <v>46579</v>
      </c>
      <c r="G1864" s="92">
        <v>78469</v>
      </c>
      <c r="H1864" s="90" t="s">
        <v>11</v>
      </c>
      <c r="I18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64" s="90" t="s">
        <v>5369</v>
      </c>
    </row>
    <row r="1865" spans="1:11">
      <c r="A1865" s="90" t="s">
        <v>9613</v>
      </c>
      <c r="B1865" s="90" t="s">
        <v>9614</v>
      </c>
      <c r="C1865" s="90" t="s">
        <v>12</v>
      </c>
      <c r="D1865" s="90" t="str">
        <f>VLOOKUP(Tabela1[[#This Row],[Origem]],'Perguntas 1 a 24'!$J$28:$K$34,2,FALSE)</f>
        <v>Sudeste</v>
      </c>
      <c r="E1865" s="90" t="s">
        <v>13204</v>
      </c>
      <c r="F1865" s="91">
        <v>46579</v>
      </c>
      <c r="G1865" s="92">
        <v>94305</v>
      </c>
      <c r="H1865" s="90" t="s">
        <v>9</v>
      </c>
      <c r="I18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65" s="90" t="s">
        <v>9614</v>
      </c>
    </row>
    <row r="1866" spans="1:11">
      <c r="A1866" s="90" t="s">
        <v>4211</v>
      </c>
      <c r="B1866" s="90" t="s">
        <v>4212</v>
      </c>
      <c r="C1866" s="90" t="s">
        <v>13</v>
      </c>
      <c r="D1866" s="90" t="str">
        <f>VLOOKUP(Tabela1[[#This Row],[Origem]],'Perguntas 1 a 24'!$J$28:$K$34,2,FALSE)</f>
        <v>Sudeste</v>
      </c>
      <c r="E1866" s="90" t="s">
        <v>13205</v>
      </c>
      <c r="F1866" s="91">
        <v>46580</v>
      </c>
      <c r="G1866" s="92">
        <v>22617</v>
      </c>
      <c r="H1866" s="90" t="s">
        <v>11</v>
      </c>
      <c r="I18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66" s="90" t="s">
        <v>4212</v>
      </c>
    </row>
    <row r="1867" spans="1:11">
      <c r="A1867" s="90" t="s">
        <v>8745</v>
      </c>
      <c r="B1867" s="90" t="s">
        <v>8746</v>
      </c>
      <c r="C1867" s="90" t="s">
        <v>8</v>
      </c>
      <c r="D1867" s="90" t="str">
        <f>VLOOKUP(Tabela1[[#This Row],[Origem]],'Perguntas 1 a 24'!$J$28:$K$34,2,FALSE)</f>
        <v>Nordeste</v>
      </c>
      <c r="E1867" s="90" t="s">
        <v>13206</v>
      </c>
      <c r="F1867" s="91">
        <v>46581</v>
      </c>
      <c r="G1867" s="92">
        <v>31890</v>
      </c>
      <c r="H1867" s="90" t="s">
        <v>14</v>
      </c>
      <c r="I18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67" s="90" t="s">
        <v>8746</v>
      </c>
    </row>
    <row r="1868" spans="1:11">
      <c r="A1868" s="90" t="s">
        <v>4654</v>
      </c>
      <c r="B1868" s="90" t="s">
        <v>4655</v>
      </c>
      <c r="C1868" s="90" t="s">
        <v>13</v>
      </c>
      <c r="D1868" s="90" t="str">
        <f>VLOOKUP(Tabela1[[#This Row],[Origem]],'Perguntas 1 a 24'!$J$28:$K$34,2,FALSE)</f>
        <v>Sudeste</v>
      </c>
      <c r="E1868" s="90" t="s">
        <v>13207</v>
      </c>
      <c r="F1868" s="91">
        <v>46582</v>
      </c>
      <c r="G1868" s="92">
        <v>101970</v>
      </c>
      <c r="H1868" s="90" t="s">
        <v>9</v>
      </c>
      <c r="I18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68" s="90" t="s">
        <v>4655</v>
      </c>
    </row>
    <row r="1869" spans="1:11">
      <c r="A1869" s="90" t="s">
        <v>4255</v>
      </c>
      <c r="B1869" s="90" t="s">
        <v>4256</v>
      </c>
      <c r="C1869" s="90" t="s">
        <v>6</v>
      </c>
      <c r="D1869" s="90" t="str">
        <f>VLOOKUP(Tabela1[[#This Row],[Origem]],'Perguntas 1 a 24'!$J$28:$K$34,2,FALSE)</f>
        <v>Nordeste</v>
      </c>
      <c r="E1869" s="90" t="s">
        <v>13208</v>
      </c>
      <c r="F1869" s="91">
        <v>46583</v>
      </c>
      <c r="G1869" s="92">
        <v>45734</v>
      </c>
      <c r="H1869" s="90" t="s">
        <v>11</v>
      </c>
      <c r="I18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69" s="90" t="s">
        <v>4256</v>
      </c>
    </row>
    <row r="1870" spans="1:11">
      <c r="A1870" s="90" t="s">
        <v>4508</v>
      </c>
      <c r="B1870" s="90" t="s">
        <v>4509</v>
      </c>
      <c r="C1870" s="90" t="s">
        <v>15</v>
      </c>
      <c r="D1870" s="90" t="str">
        <f>VLOOKUP(Tabela1[[#This Row],[Origem]],'Perguntas 1 a 24'!$J$28:$K$34,2,FALSE)</f>
        <v>Sudeste</v>
      </c>
      <c r="E1870" s="90" t="s">
        <v>13209</v>
      </c>
      <c r="F1870" s="91">
        <v>46583</v>
      </c>
      <c r="G1870" s="92">
        <v>42403</v>
      </c>
      <c r="H1870" s="90" t="s">
        <v>11</v>
      </c>
      <c r="I18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70" s="90" t="s">
        <v>4509</v>
      </c>
    </row>
    <row r="1871" spans="1:11">
      <c r="A1871" s="90" t="s">
        <v>10555</v>
      </c>
      <c r="B1871" s="90" t="s">
        <v>10556</v>
      </c>
      <c r="C1871" s="90" t="s">
        <v>15</v>
      </c>
      <c r="D1871" s="90" t="str">
        <f>VLOOKUP(Tabela1[[#This Row],[Origem]],'Perguntas 1 a 24'!$J$28:$K$34,2,FALSE)</f>
        <v>Sudeste</v>
      </c>
      <c r="E1871" s="90" t="s">
        <v>13210</v>
      </c>
      <c r="F1871" s="91">
        <v>46583</v>
      </c>
      <c r="G1871" s="92">
        <v>62056</v>
      </c>
      <c r="H1871" s="90" t="s">
        <v>7</v>
      </c>
      <c r="I18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71" s="90" t="s">
        <v>10556</v>
      </c>
    </row>
    <row r="1872" spans="1:11">
      <c r="A1872" s="90" t="s">
        <v>11098</v>
      </c>
      <c r="B1872" s="90" t="s">
        <v>11099</v>
      </c>
      <c r="C1872" s="90" t="s">
        <v>8</v>
      </c>
      <c r="D1872" s="90" t="str">
        <f>VLOOKUP(Tabela1[[#This Row],[Origem]],'Perguntas 1 a 24'!$J$28:$K$34,2,FALSE)</f>
        <v>Nordeste</v>
      </c>
      <c r="E1872" s="90" t="s">
        <v>13211</v>
      </c>
      <c r="F1872" s="91">
        <v>46583</v>
      </c>
      <c r="G1872" s="92">
        <v>95658</v>
      </c>
      <c r="H1872" s="90" t="s">
        <v>9</v>
      </c>
      <c r="I18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72" s="90" t="s">
        <v>11099</v>
      </c>
    </row>
    <row r="1873" spans="1:11">
      <c r="A1873" s="90" t="s">
        <v>4373</v>
      </c>
      <c r="B1873" s="90" t="s">
        <v>4374</v>
      </c>
      <c r="C1873" s="90" t="s">
        <v>6</v>
      </c>
      <c r="D1873" s="90" t="str">
        <f>VLOOKUP(Tabela1[[#This Row],[Origem]],'Perguntas 1 a 24'!$J$28:$K$34,2,FALSE)</f>
        <v>Nordeste</v>
      </c>
      <c r="E1873" s="90" t="s">
        <v>13212</v>
      </c>
      <c r="F1873" s="91">
        <v>46584</v>
      </c>
      <c r="G1873" s="92">
        <v>78295</v>
      </c>
      <c r="H1873" s="90" t="s">
        <v>9</v>
      </c>
      <c r="I18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73" s="90" t="s">
        <v>4374</v>
      </c>
    </row>
    <row r="1874" spans="1:11">
      <c r="A1874" s="90" t="s">
        <v>6518</v>
      </c>
      <c r="B1874" s="90" t="s">
        <v>6519</v>
      </c>
      <c r="C1874" s="90" t="s">
        <v>10</v>
      </c>
      <c r="D1874" s="90" t="str">
        <f>VLOOKUP(Tabela1[[#This Row],[Origem]],'Perguntas 1 a 24'!$J$28:$K$34,2,FALSE)</f>
        <v>Centro-Oeste</v>
      </c>
      <c r="E1874" s="90" t="s">
        <v>13213</v>
      </c>
      <c r="F1874" s="91">
        <v>46584</v>
      </c>
      <c r="G1874" s="92">
        <v>56465</v>
      </c>
      <c r="H1874" s="90" t="s">
        <v>11</v>
      </c>
      <c r="I18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74" s="90" t="s">
        <v>6519</v>
      </c>
    </row>
    <row r="1875" spans="1:11">
      <c r="A1875" s="90" t="s">
        <v>6904</v>
      </c>
      <c r="B1875" s="90" t="s">
        <v>6905</v>
      </c>
      <c r="C1875" s="90" t="s">
        <v>6</v>
      </c>
      <c r="D1875" s="90" t="str">
        <f>VLOOKUP(Tabela1[[#This Row],[Origem]],'Perguntas 1 a 24'!$J$28:$K$34,2,FALSE)</f>
        <v>Nordeste</v>
      </c>
      <c r="E1875" s="90" t="s">
        <v>13214</v>
      </c>
      <c r="F1875" s="91">
        <v>46584</v>
      </c>
      <c r="G1875" s="92">
        <v>31261</v>
      </c>
      <c r="H1875" s="90" t="s">
        <v>9</v>
      </c>
      <c r="I18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75" s="90" t="s">
        <v>6905</v>
      </c>
    </row>
    <row r="1876" spans="1:11">
      <c r="A1876" s="90" t="s">
        <v>3992</v>
      </c>
      <c r="B1876" s="90" t="s">
        <v>3993</v>
      </c>
      <c r="C1876" s="90" t="s">
        <v>8</v>
      </c>
      <c r="D1876" s="90" t="str">
        <f>VLOOKUP(Tabela1[[#This Row],[Origem]],'Perguntas 1 a 24'!$J$28:$K$34,2,FALSE)</f>
        <v>Nordeste</v>
      </c>
      <c r="E1876" s="90" t="s">
        <v>13215</v>
      </c>
      <c r="F1876" s="91">
        <v>46585</v>
      </c>
      <c r="G1876" s="92">
        <v>21677</v>
      </c>
      <c r="H1876" s="90" t="s">
        <v>7</v>
      </c>
      <c r="I18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76" s="90" t="s">
        <v>3993</v>
      </c>
    </row>
    <row r="1877" spans="1:11">
      <c r="A1877" s="90" t="s">
        <v>6418</v>
      </c>
      <c r="B1877" s="90" t="s">
        <v>6419</v>
      </c>
      <c r="C1877" s="90" t="s">
        <v>15</v>
      </c>
      <c r="D1877" s="90" t="str">
        <f>VLOOKUP(Tabela1[[#This Row],[Origem]],'Perguntas 1 a 24'!$J$28:$K$34,2,FALSE)</f>
        <v>Sudeste</v>
      </c>
      <c r="E1877" s="90" t="s">
        <v>13216</v>
      </c>
      <c r="F1877" s="91">
        <v>46585</v>
      </c>
      <c r="G1877" s="92">
        <v>33610</v>
      </c>
      <c r="H1877" s="90" t="s">
        <v>11</v>
      </c>
      <c r="I18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77" s="90" t="s">
        <v>6419</v>
      </c>
    </row>
    <row r="1878" spans="1:11">
      <c r="A1878" s="90" t="s">
        <v>11125</v>
      </c>
      <c r="B1878" s="90" t="s">
        <v>11126</v>
      </c>
      <c r="C1878" s="90" t="s">
        <v>12</v>
      </c>
      <c r="D1878" s="90" t="str">
        <f>VLOOKUP(Tabela1[[#This Row],[Origem]],'Perguntas 1 a 24'!$J$28:$K$34,2,FALSE)</f>
        <v>Sudeste</v>
      </c>
      <c r="E1878" s="90" t="s">
        <v>13217</v>
      </c>
      <c r="F1878" s="91">
        <v>46585</v>
      </c>
      <c r="G1878" s="92">
        <v>101897</v>
      </c>
      <c r="H1878" s="90" t="s">
        <v>9</v>
      </c>
      <c r="I18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78" s="90" t="s">
        <v>11126</v>
      </c>
    </row>
    <row r="1879" spans="1:11">
      <c r="A1879" s="90" t="s">
        <v>8909</v>
      </c>
      <c r="B1879" s="90" t="s">
        <v>8910</v>
      </c>
      <c r="C1879" s="90" t="s">
        <v>13</v>
      </c>
      <c r="D1879" s="90" t="str">
        <f>VLOOKUP(Tabela1[[#This Row],[Origem]],'Perguntas 1 a 24'!$J$28:$K$34,2,FALSE)</f>
        <v>Sudeste</v>
      </c>
      <c r="E1879" s="90" t="s">
        <v>13218</v>
      </c>
      <c r="F1879" s="91">
        <v>46586</v>
      </c>
      <c r="G1879" s="92">
        <v>79855</v>
      </c>
      <c r="H1879" s="90" t="s">
        <v>14</v>
      </c>
      <c r="I18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79" s="90" t="s">
        <v>8910</v>
      </c>
    </row>
    <row r="1880" spans="1:11">
      <c r="A1880" s="90" t="s">
        <v>11325</v>
      </c>
      <c r="B1880" s="90" t="s">
        <v>11326</v>
      </c>
      <c r="C1880" s="90" t="s">
        <v>10</v>
      </c>
      <c r="D1880" s="90" t="str">
        <f>VLOOKUP(Tabela1[[#This Row],[Origem]],'Perguntas 1 a 24'!$J$28:$K$34,2,FALSE)</f>
        <v>Centro-Oeste</v>
      </c>
      <c r="E1880" s="90" t="s">
        <v>13219</v>
      </c>
      <c r="F1880" s="91">
        <v>46588</v>
      </c>
      <c r="G1880" s="92">
        <v>101539</v>
      </c>
      <c r="H1880" s="90" t="s">
        <v>14</v>
      </c>
      <c r="I18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0" s="90" t="s">
        <v>11326</v>
      </c>
    </row>
    <row r="1881" spans="1:11">
      <c r="A1881" s="90" t="s">
        <v>5422</v>
      </c>
      <c r="B1881" s="90" t="s">
        <v>5423</v>
      </c>
      <c r="C1881" s="90" t="s">
        <v>8</v>
      </c>
      <c r="D1881" s="90" t="str">
        <f>VLOOKUP(Tabela1[[#This Row],[Origem]],'Perguntas 1 a 24'!$J$28:$K$34,2,FALSE)</f>
        <v>Nordeste</v>
      </c>
      <c r="E1881" s="90" t="s">
        <v>13220</v>
      </c>
      <c r="F1881" s="91">
        <v>46589</v>
      </c>
      <c r="G1881" s="92">
        <v>83678</v>
      </c>
      <c r="H1881" s="90" t="s">
        <v>9</v>
      </c>
      <c r="I18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1" s="90" t="s">
        <v>5423</v>
      </c>
    </row>
    <row r="1882" spans="1:11">
      <c r="A1882" s="90" t="s">
        <v>8977</v>
      </c>
      <c r="B1882" s="90" t="s">
        <v>8978</v>
      </c>
      <c r="C1882" s="90" t="s">
        <v>6</v>
      </c>
      <c r="D1882" s="90" t="str">
        <f>VLOOKUP(Tabela1[[#This Row],[Origem]],'Perguntas 1 a 24'!$J$28:$K$34,2,FALSE)</f>
        <v>Nordeste</v>
      </c>
      <c r="E1882" s="90" t="s">
        <v>13221</v>
      </c>
      <c r="F1882" s="91">
        <v>46589</v>
      </c>
      <c r="G1882" s="92">
        <v>57049</v>
      </c>
      <c r="H1882" s="90" t="s">
        <v>7</v>
      </c>
      <c r="I18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2" s="90" t="s">
        <v>8978</v>
      </c>
    </row>
    <row r="1883" spans="1:11">
      <c r="A1883" s="90" t="s">
        <v>5298</v>
      </c>
      <c r="B1883" s="90" t="s">
        <v>5299</v>
      </c>
      <c r="C1883" s="90" t="s">
        <v>10</v>
      </c>
      <c r="D1883" s="90" t="str">
        <f>VLOOKUP(Tabela1[[#This Row],[Origem]],'Perguntas 1 a 24'!$J$28:$K$34,2,FALSE)</f>
        <v>Centro-Oeste</v>
      </c>
      <c r="E1883" s="90" t="s">
        <v>13222</v>
      </c>
      <c r="F1883" s="91">
        <v>46590</v>
      </c>
      <c r="G1883" s="92">
        <v>52262</v>
      </c>
      <c r="H1883" s="90" t="s">
        <v>7</v>
      </c>
      <c r="I18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3" s="90" t="s">
        <v>5299</v>
      </c>
    </row>
    <row r="1884" spans="1:11">
      <c r="A1884" s="90" t="s">
        <v>6748</v>
      </c>
      <c r="B1884" s="90" t="s">
        <v>6749</v>
      </c>
      <c r="C1884" s="90" t="s">
        <v>16</v>
      </c>
      <c r="D1884" s="90" t="str">
        <f>VLOOKUP(Tabela1[[#This Row],[Origem]],'Perguntas 1 a 24'!$J$28:$K$34,2,FALSE)</f>
        <v>Sudeste</v>
      </c>
      <c r="E1884" s="90" t="s">
        <v>13223</v>
      </c>
      <c r="F1884" s="91">
        <v>46590</v>
      </c>
      <c r="G1884" s="92">
        <v>103241</v>
      </c>
      <c r="H1884" s="90" t="s">
        <v>14</v>
      </c>
      <c r="I18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4" s="90" t="s">
        <v>6749</v>
      </c>
    </row>
    <row r="1885" spans="1:11">
      <c r="A1885" s="90" t="s">
        <v>11255</v>
      </c>
      <c r="B1885" s="90" t="s">
        <v>11256</v>
      </c>
      <c r="C1885" s="90" t="s">
        <v>15</v>
      </c>
      <c r="D1885" s="90" t="str">
        <f>VLOOKUP(Tabela1[[#This Row],[Origem]],'Perguntas 1 a 24'!$J$28:$K$34,2,FALSE)</f>
        <v>Sudeste</v>
      </c>
      <c r="E1885" s="90" t="s">
        <v>13224</v>
      </c>
      <c r="F1885" s="91">
        <v>46590</v>
      </c>
      <c r="G1885" s="92">
        <v>53479</v>
      </c>
      <c r="H1885" s="90" t="s">
        <v>9</v>
      </c>
      <c r="I18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5" s="90" t="s">
        <v>11256</v>
      </c>
    </row>
    <row r="1886" spans="1:11">
      <c r="A1886" s="90" t="s">
        <v>6914</v>
      </c>
      <c r="B1886" s="90" t="s">
        <v>6915</v>
      </c>
      <c r="C1886" s="90" t="s">
        <v>15</v>
      </c>
      <c r="D1886" s="90" t="str">
        <f>VLOOKUP(Tabela1[[#This Row],[Origem]],'Perguntas 1 a 24'!$J$28:$K$34,2,FALSE)</f>
        <v>Sudeste</v>
      </c>
      <c r="E1886" s="90" t="s">
        <v>13225</v>
      </c>
      <c r="F1886" s="91">
        <v>46591</v>
      </c>
      <c r="G1886" s="92">
        <v>35022</v>
      </c>
      <c r="H1886" s="90" t="s">
        <v>9</v>
      </c>
      <c r="I18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86" s="90" t="s">
        <v>6915</v>
      </c>
    </row>
    <row r="1887" spans="1:11">
      <c r="A1887" s="90" t="s">
        <v>7032</v>
      </c>
      <c r="B1887" s="90" t="s">
        <v>7033</v>
      </c>
      <c r="C1887" s="90" t="s">
        <v>10</v>
      </c>
      <c r="D1887" s="90" t="str">
        <f>VLOOKUP(Tabela1[[#This Row],[Origem]],'Perguntas 1 a 24'!$J$28:$K$34,2,FALSE)</f>
        <v>Centro-Oeste</v>
      </c>
      <c r="E1887" s="90" t="s">
        <v>13226</v>
      </c>
      <c r="F1887" s="91">
        <v>46592</v>
      </c>
      <c r="G1887" s="92">
        <v>73311</v>
      </c>
      <c r="H1887" s="90" t="s">
        <v>7</v>
      </c>
      <c r="I18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7" s="90" t="s">
        <v>7033</v>
      </c>
    </row>
    <row r="1888" spans="1:11">
      <c r="A1888" s="90" t="s">
        <v>10493</v>
      </c>
      <c r="B1888" s="90" t="s">
        <v>10494</v>
      </c>
      <c r="C1888" s="90" t="s">
        <v>13</v>
      </c>
      <c r="D1888" s="90" t="str">
        <f>VLOOKUP(Tabela1[[#This Row],[Origem]],'Perguntas 1 a 24'!$J$28:$K$34,2,FALSE)</f>
        <v>Sudeste</v>
      </c>
      <c r="E1888" s="90" t="s">
        <v>13227</v>
      </c>
      <c r="F1888" s="91">
        <v>46593</v>
      </c>
      <c r="G1888" s="92">
        <v>83470</v>
      </c>
      <c r="H1888" s="90" t="s">
        <v>11</v>
      </c>
      <c r="I18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8" s="90" t="s">
        <v>10494</v>
      </c>
    </row>
    <row r="1889" spans="1:11">
      <c r="A1889" s="90" t="s">
        <v>8955</v>
      </c>
      <c r="B1889" s="90" t="s">
        <v>8956</v>
      </c>
      <c r="C1889" s="90" t="s">
        <v>12</v>
      </c>
      <c r="D1889" s="90" t="str">
        <f>VLOOKUP(Tabela1[[#This Row],[Origem]],'Perguntas 1 a 24'!$J$28:$K$34,2,FALSE)</f>
        <v>Sudeste</v>
      </c>
      <c r="E1889" s="90" t="s">
        <v>13228</v>
      </c>
      <c r="F1889" s="91">
        <v>46594</v>
      </c>
      <c r="G1889" s="92">
        <v>53479</v>
      </c>
      <c r="H1889" s="90" t="s">
        <v>11</v>
      </c>
      <c r="I18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89" s="90" t="s">
        <v>8956</v>
      </c>
    </row>
    <row r="1890" spans="1:11">
      <c r="A1890" s="90" t="s">
        <v>10545</v>
      </c>
      <c r="B1890" s="90" t="s">
        <v>10546</v>
      </c>
      <c r="C1890" s="90" t="s">
        <v>16</v>
      </c>
      <c r="D1890" s="90" t="str">
        <f>VLOOKUP(Tabela1[[#This Row],[Origem]],'Perguntas 1 a 24'!$J$28:$K$34,2,FALSE)</f>
        <v>Sudeste</v>
      </c>
      <c r="E1890" s="90" t="s">
        <v>13229</v>
      </c>
      <c r="F1890" s="91">
        <v>46594</v>
      </c>
      <c r="G1890" s="92">
        <v>73875</v>
      </c>
      <c r="H1890" s="90" t="s">
        <v>7</v>
      </c>
      <c r="I18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90" s="90" t="s">
        <v>10546</v>
      </c>
    </row>
    <row r="1891" spans="1:11">
      <c r="A1891" s="90" t="s">
        <v>8937</v>
      </c>
      <c r="B1891" s="90" t="s">
        <v>8938</v>
      </c>
      <c r="C1891" s="90" t="s">
        <v>10</v>
      </c>
      <c r="D1891" s="90" t="str">
        <f>VLOOKUP(Tabela1[[#This Row],[Origem]],'Perguntas 1 a 24'!$J$28:$K$34,2,FALSE)</f>
        <v>Centro-Oeste</v>
      </c>
      <c r="E1891" s="90" t="s">
        <v>13230</v>
      </c>
      <c r="F1891" s="91">
        <v>46595</v>
      </c>
      <c r="G1891" s="92">
        <v>114681</v>
      </c>
      <c r="H1891" s="90" t="s">
        <v>9</v>
      </c>
      <c r="I18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91" s="90" t="s">
        <v>8938</v>
      </c>
    </row>
    <row r="1892" spans="1:11">
      <c r="A1892" s="90" t="s">
        <v>4616</v>
      </c>
      <c r="B1892" s="90" t="s">
        <v>4617</v>
      </c>
      <c r="C1892" s="90" t="s">
        <v>16</v>
      </c>
      <c r="D1892" s="90" t="str">
        <f>VLOOKUP(Tabela1[[#This Row],[Origem]],'Perguntas 1 a 24'!$J$28:$K$34,2,FALSE)</f>
        <v>Sudeste</v>
      </c>
      <c r="E1892" s="90" t="s">
        <v>13231</v>
      </c>
      <c r="F1892" s="91">
        <v>46596</v>
      </c>
      <c r="G1892" s="92">
        <v>94265</v>
      </c>
      <c r="H1892" s="90" t="s">
        <v>7</v>
      </c>
      <c r="I18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92" s="90" t="s">
        <v>4617</v>
      </c>
    </row>
    <row r="1893" spans="1:11">
      <c r="A1893" s="90" t="s">
        <v>8921</v>
      </c>
      <c r="B1893" s="90" t="s">
        <v>8922</v>
      </c>
      <c r="C1893" s="90" t="s">
        <v>12</v>
      </c>
      <c r="D1893" s="90" t="str">
        <f>VLOOKUP(Tabela1[[#This Row],[Origem]],'Perguntas 1 a 24'!$J$28:$K$34,2,FALSE)</f>
        <v>Sudeste</v>
      </c>
      <c r="E1893" s="90" t="s">
        <v>13232</v>
      </c>
      <c r="F1893" s="91">
        <v>46596</v>
      </c>
      <c r="G1893" s="92">
        <v>33942</v>
      </c>
      <c r="H1893" s="90" t="s">
        <v>9</v>
      </c>
      <c r="I18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93" s="90" t="s">
        <v>8922</v>
      </c>
    </row>
    <row r="1894" spans="1:11">
      <c r="A1894" s="90" t="s">
        <v>9533</v>
      </c>
      <c r="B1894" s="90" t="s">
        <v>9534</v>
      </c>
      <c r="C1894" s="90" t="s">
        <v>6</v>
      </c>
      <c r="D1894" s="90" t="str">
        <f>VLOOKUP(Tabela1[[#This Row],[Origem]],'Perguntas 1 a 24'!$J$28:$K$34,2,FALSE)</f>
        <v>Nordeste</v>
      </c>
      <c r="E1894" s="90" t="s">
        <v>13233</v>
      </c>
      <c r="F1894" s="91">
        <v>46596</v>
      </c>
      <c r="G1894" s="92">
        <v>92483</v>
      </c>
      <c r="H1894" s="90" t="s">
        <v>7</v>
      </c>
      <c r="I18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94" s="90" t="s">
        <v>9534</v>
      </c>
    </row>
    <row r="1895" spans="1:11">
      <c r="A1895" s="90" t="s">
        <v>9235</v>
      </c>
      <c r="B1895" s="90" t="s">
        <v>9236</v>
      </c>
      <c r="C1895" s="90" t="s">
        <v>12</v>
      </c>
      <c r="D1895" s="90" t="str">
        <f>VLOOKUP(Tabela1[[#This Row],[Origem]],'Perguntas 1 a 24'!$J$28:$K$34,2,FALSE)</f>
        <v>Sudeste</v>
      </c>
      <c r="E1895" s="90" t="s">
        <v>13234</v>
      </c>
      <c r="F1895" s="91">
        <v>46597</v>
      </c>
      <c r="G1895" s="92">
        <v>32551</v>
      </c>
      <c r="H1895" s="90" t="s">
        <v>14</v>
      </c>
      <c r="I18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95" s="90" t="s">
        <v>9236</v>
      </c>
    </row>
    <row r="1896" spans="1:11">
      <c r="A1896" s="90" t="s">
        <v>9427</v>
      </c>
      <c r="B1896" s="90" t="s">
        <v>9428</v>
      </c>
      <c r="C1896" s="90" t="s">
        <v>16</v>
      </c>
      <c r="D1896" s="90" t="str">
        <f>VLOOKUP(Tabela1[[#This Row],[Origem]],'Perguntas 1 a 24'!$J$28:$K$34,2,FALSE)</f>
        <v>Sudeste</v>
      </c>
      <c r="E1896" s="90" t="s">
        <v>13235</v>
      </c>
      <c r="F1896" s="91">
        <v>46597</v>
      </c>
      <c r="G1896" s="92">
        <v>73094</v>
      </c>
      <c r="H1896" s="90" t="s">
        <v>11</v>
      </c>
      <c r="I18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96" s="90" t="s">
        <v>9428</v>
      </c>
    </row>
    <row r="1897" spans="1:11">
      <c r="A1897" s="90" t="s">
        <v>10085</v>
      </c>
      <c r="B1897" s="90" t="s">
        <v>10086</v>
      </c>
      <c r="C1897" s="90" t="s">
        <v>12</v>
      </c>
      <c r="D1897" s="90" t="str">
        <f>VLOOKUP(Tabela1[[#This Row],[Origem]],'Perguntas 1 a 24'!$J$28:$K$34,2,FALSE)</f>
        <v>Sudeste</v>
      </c>
      <c r="E1897" s="90" t="s">
        <v>13236</v>
      </c>
      <c r="F1897" s="91">
        <v>46597</v>
      </c>
      <c r="G1897" s="92">
        <v>26217</v>
      </c>
      <c r="H1897" s="90" t="s">
        <v>9</v>
      </c>
      <c r="I18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897" s="90" t="s">
        <v>10086</v>
      </c>
    </row>
    <row r="1898" spans="1:11">
      <c r="A1898" s="90" t="s">
        <v>10363</v>
      </c>
      <c r="B1898" s="90" t="s">
        <v>10364</v>
      </c>
      <c r="C1898" s="90" t="s">
        <v>16</v>
      </c>
      <c r="D1898" s="90" t="str">
        <f>VLOOKUP(Tabela1[[#This Row],[Origem]],'Perguntas 1 a 24'!$J$28:$K$34,2,FALSE)</f>
        <v>Sudeste</v>
      </c>
      <c r="E1898" s="90" t="s">
        <v>13237</v>
      </c>
      <c r="F1898" s="91">
        <v>46597</v>
      </c>
      <c r="G1898" s="92">
        <v>71067</v>
      </c>
      <c r="H1898" s="90" t="s">
        <v>14</v>
      </c>
      <c r="I18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98" s="90" t="s">
        <v>10364</v>
      </c>
    </row>
    <row r="1899" spans="1:11">
      <c r="A1899" s="90" t="s">
        <v>5280</v>
      </c>
      <c r="B1899" s="90" t="s">
        <v>5281</v>
      </c>
      <c r="C1899" s="90" t="s">
        <v>15</v>
      </c>
      <c r="D1899" s="90" t="str">
        <f>VLOOKUP(Tabela1[[#This Row],[Origem]],'Perguntas 1 a 24'!$J$28:$K$34,2,FALSE)</f>
        <v>Sudeste</v>
      </c>
      <c r="E1899" s="90" t="s">
        <v>13238</v>
      </c>
      <c r="F1899" s="91">
        <v>46598</v>
      </c>
      <c r="G1899" s="92">
        <v>92872</v>
      </c>
      <c r="H1899" s="90" t="s">
        <v>7</v>
      </c>
      <c r="I18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899" s="90" t="s">
        <v>5281</v>
      </c>
    </row>
    <row r="1900" spans="1:11">
      <c r="A1900" s="90" t="s">
        <v>9413</v>
      </c>
      <c r="B1900" s="90" t="s">
        <v>9414</v>
      </c>
      <c r="C1900" s="90" t="s">
        <v>6</v>
      </c>
      <c r="D1900" s="90" t="str">
        <f>VLOOKUP(Tabela1[[#This Row],[Origem]],'Perguntas 1 a 24'!$J$28:$K$34,2,FALSE)</f>
        <v>Nordeste</v>
      </c>
      <c r="E1900" s="90" t="s">
        <v>13239</v>
      </c>
      <c r="F1900" s="91">
        <v>46598</v>
      </c>
      <c r="G1900" s="92">
        <v>91304</v>
      </c>
      <c r="H1900" s="90" t="s">
        <v>14</v>
      </c>
      <c r="I19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00" s="90" t="s">
        <v>9414</v>
      </c>
    </row>
    <row r="1901" spans="1:11">
      <c r="A1901" s="90" t="s">
        <v>5280</v>
      </c>
      <c r="B1901" s="90" t="s">
        <v>5281</v>
      </c>
      <c r="C1901" s="90" t="s">
        <v>15</v>
      </c>
      <c r="D1901" s="90" t="str">
        <f>VLOOKUP(Tabela1[[#This Row],[Origem]],'Perguntas 1 a 24'!$J$28:$K$34,2,FALSE)</f>
        <v>Sudeste</v>
      </c>
      <c r="E1901" s="90" t="s">
        <v>13238</v>
      </c>
      <c r="F1901" s="91">
        <v>46598</v>
      </c>
      <c r="G1901" s="92">
        <v>92872</v>
      </c>
      <c r="H1901" s="90" t="s">
        <v>7</v>
      </c>
      <c r="I19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01" s="90" t="s">
        <v>4881</v>
      </c>
    </row>
    <row r="1902" spans="1:11">
      <c r="A1902" s="90" t="s">
        <v>4880</v>
      </c>
      <c r="B1902" s="90" t="s">
        <v>4881</v>
      </c>
      <c r="C1902" s="90" t="s">
        <v>16</v>
      </c>
      <c r="D1902" s="90" t="str">
        <f>VLOOKUP(Tabela1[[#This Row],[Origem]],'Perguntas 1 a 24'!$J$28:$K$34,2,FALSE)</f>
        <v>Sudeste</v>
      </c>
      <c r="E1902" s="90" t="s">
        <v>13240</v>
      </c>
      <c r="F1902" s="91">
        <v>46599</v>
      </c>
      <c r="G1902" s="92">
        <v>112318</v>
      </c>
      <c r="H1902" s="90" t="s">
        <v>7</v>
      </c>
      <c r="I19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02" s="90" t="s">
        <v>6185</v>
      </c>
    </row>
    <row r="1903" spans="1:11">
      <c r="A1903" s="90" t="s">
        <v>6184</v>
      </c>
      <c r="B1903" s="90" t="s">
        <v>6185</v>
      </c>
      <c r="C1903" s="90" t="s">
        <v>12</v>
      </c>
      <c r="D1903" s="90" t="str">
        <f>VLOOKUP(Tabela1[[#This Row],[Origem]],'Perguntas 1 a 24'!$J$28:$K$34,2,FALSE)</f>
        <v>Sudeste</v>
      </c>
      <c r="E1903" s="90" t="s">
        <v>13241</v>
      </c>
      <c r="F1903" s="91">
        <v>46599</v>
      </c>
      <c r="G1903" s="92">
        <v>41706</v>
      </c>
      <c r="H1903" s="90" t="s">
        <v>9</v>
      </c>
      <c r="I19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03" s="90" t="s">
        <v>8001</v>
      </c>
    </row>
    <row r="1904" spans="1:11">
      <c r="A1904" s="90" t="s">
        <v>8000</v>
      </c>
      <c r="B1904" s="90" t="s">
        <v>8001</v>
      </c>
      <c r="C1904" s="90" t="s">
        <v>6</v>
      </c>
      <c r="D1904" s="90" t="str">
        <f>VLOOKUP(Tabela1[[#This Row],[Origem]],'Perguntas 1 a 24'!$J$28:$K$34,2,FALSE)</f>
        <v>Nordeste</v>
      </c>
      <c r="E1904" s="90" t="s">
        <v>13242</v>
      </c>
      <c r="F1904" s="91">
        <v>46599</v>
      </c>
      <c r="G1904" s="92">
        <v>68588</v>
      </c>
      <c r="H1904" s="90" t="s">
        <v>11</v>
      </c>
      <c r="I19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04" s="90" t="s">
        <v>9520</v>
      </c>
    </row>
    <row r="1905" spans="1:11">
      <c r="A1905" s="90" t="s">
        <v>9519</v>
      </c>
      <c r="B1905" s="90" t="s">
        <v>9520</v>
      </c>
      <c r="C1905" s="90" t="s">
        <v>6</v>
      </c>
      <c r="D1905" s="90" t="str">
        <f>VLOOKUP(Tabela1[[#This Row],[Origem]],'Perguntas 1 a 24'!$J$28:$K$34,2,FALSE)</f>
        <v>Nordeste</v>
      </c>
      <c r="E1905" s="90" t="s">
        <v>13243</v>
      </c>
      <c r="F1905" s="91">
        <v>46599</v>
      </c>
      <c r="G1905" s="92">
        <v>64959</v>
      </c>
      <c r="H1905" s="90" t="s">
        <v>9</v>
      </c>
      <c r="I19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05" s="90" t="s">
        <v>8117</v>
      </c>
    </row>
    <row r="1906" spans="1:11">
      <c r="A1906" s="90" t="s">
        <v>8116</v>
      </c>
      <c r="B1906" s="90" t="s">
        <v>8117</v>
      </c>
      <c r="C1906" s="90" t="s">
        <v>15</v>
      </c>
      <c r="D1906" s="90" t="str">
        <f>VLOOKUP(Tabela1[[#This Row],[Origem]],'Perguntas 1 a 24'!$J$28:$K$34,2,FALSE)</f>
        <v>Sudeste</v>
      </c>
      <c r="E1906" s="90" t="s">
        <v>13244</v>
      </c>
      <c r="F1906" s="91">
        <v>46600</v>
      </c>
      <c r="G1906" s="92">
        <v>71503</v>
      </c>
      <c r="H1906" s="90" t="s">
        <v>7</v>
      </c>
      <c r="I19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06" s="90" t="s">
        <v>9678</v>
      </c>
    </row>
    <row r="1907" spans="1:11">
      <c r="A1907" s="90" t="s">
        <v>9677</v>
      </c>
      <c r="B1907" s="90" t="s">
        <v>9678</v>
      </c>
      <c r="C1907" s="90" t="s">
        <v>15</v>
      </c>
      <c r="D1907" s="90" t="str">
        <f>VLOOKUP(Tabela1[[#This Row],[Origem]],'Perguntas 1 a 24'!$J$28:$K$34,2,FALSE)</f>
        <v>Sudeste</v>
      </c>
      <c r="E1907" s="90" t="s">
        <v>13245</v>
      </c>
      <c r="F1907" s="91">
        <v>46600</v>
      </c>
      <c r="G1907" s="92">
        <v>102019</v>
      </c>
      <c r="H1907" s="90" t="s">
        <v>7</v>
      </c>
      <c r="I19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07" s="90" t="s">
        <v>3735</v>
      </c>
    </row>
    <row r="1908" spans="1:11">
      <c r="A1908" s="90" t="s">
        <v>3734</v>
      </c>
      <c r="B1908" s="90" t="s">
        <v>3735</v>
      </c>
      <c r="C1908" s="90" t="s">
        <v>12</v>
      </c>
      <c r="D1908" s="90" t="str">
        <f>VLOOKUP(Tabela1[[#This Row],[Origem]],'Perguntas 1 a 24'!$J$28:$K$34,2,FALSE)</f>
        <v>Sudeste</v>
      </c>
      <c r="E1908" s="90" t="s">
        <v>13246</v>
      </c>
      <c r="F1908" s="91">
        <v>46601</v>
      </c>
      <c r="G1908" s="92">
        <v>23558</v>
      </c>
      <c r="H1908" s="90" t="s">
        <v>11</v>
      </c>
      <c r="I19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08" s="90" t="s">
        <v>3839</v>
      </c>
    </row>
    <row r="1909" spans="1:11">
      <c r="A1909" s="90" t="s">
        <v>3838</v>
      </c>
      <c r="B1909" s="90" t="s">
        <v>3839</v>
      </c>
      <c r="C1909" s="90" t="s">
        <v>13</v>
      </c>
      <c r="D1909" s="90" t="str">
        <f>VLOOKUP(Tabela1[[#This Row],[Origem]],'Perguntas 1 a 24'!$J$28:$K$34,2,FALSE)</f>
        <v>Sudeste</v>
      </c>
      <c r="E1909" s="90" t="s">
        <v>13247</v>
      </c>
      <c r="F1909" s="91">
        <v>46601</v>
      </c>
      <c r="G1909" s="92">
        <v>80512</v>
      </c>
      <c r="H1909" s="90" t="s">
        <v>9</v>
      </c>
      <c r="I19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09" s="90" t="s">
        <v>10150</v>
      </c>
    </row>
    <row r="1910" spans="1:11">
      <c r="A1910" s="90" t="s">
        <v>10149</v>
      </c>
      <c r="B1910" s="90" t="s">
        <v>10150</v>
      </c>
      <c r="C1910" s="90" t="s">
        <v>15</v>
      </c>
      <c r="D1910" s="90" t="str">
        <f>VLOOKUP(Tabela1[[#This Row],[Origem]],'Perguntas 1 a 24'!$J$28:$K$34,2,FALSE)</f>
        <v>Sudeste</v>
      </c>
      <c r="E1910" s="90" t="s">
        <v>13248</v>
      </c>
      <c r="F1910" s="91">
        <v>46602</v>
      </c>
      <c r="G1910" s="92">
        <v>22264</v>
      </c>
      <c r="H1910" s="90" t="s">
        <v>14</v>
      </c>
      <c r="I19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10" s="90" t="s">
        <v>8111</v>
      </c>
    </row>
    <row r="1911" spans="1:11">
      <c r="A1911" s="90" t="s">
        <v>8110</v>
      </c>
      <c r="B1911" s="90" t="s">
        <v>8111</v>
      </c>
      <c r="C1911" s="90" t="s">
        <v>16</v>
      </c>
      <c r="D1911" s="90" t="str">
        <f>VLOOKUP(Tabela1[[#This Row],[Origem]],'Perguntas 1 a 24'!$J$28:$K$34,2,FALSE)</f>
        <v>Sudeste</v>
      </c>
      <c r="E1911" s="90" t="s">
        <v>13249</v>
      </c>
      <c r="F1911" s="91">
        <v>46603</v>
      </c>
      <c r="G1911" s="92">
        <v>32704</v>
      </c>
      <c r="H1911" s="90" t="s">
        <v>7</v>
      </c>
      <c r="I19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11" s="90" t="s">
        <v>9618</v>
      </c>
    </row>
    <row r="1912" spans="1:11">
      <c r="A1912" s="90" t="s">
        <v>9617</v>
      </c>
      <c r="B1912" s="90" t="s">
        <v>9618</v>
      </c>
      <c r="C1912" s="90" t="s">
        <v>15</v>
      </c>
      <c r="D1912" s="90" t="str">
        <f>VLOOKUP(Tabela1[[#This Row],[Origem]],'Perguntas 1 a 24'!$J$28:$K$34,2,FALSE)</f>
        <v>Sudeste</v>
      </c>
      <c r="E1912" s="90" t="s">
        <v>13250</v>
      </c>
      <c r="F1912" s="91">
        <v>46603</v>
      </c>
      <c r="G1912" s="92">
        <v>42773</v>
      </c>
      <c r="H1912" s="90" t="s">
        <v>9</v>
      </c>
      <c r="I19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12" s="90" t="s">
        <v>8638</v>
      </c>
    </row>
    <row r="1913" spans="1:11">
      <c r="A1913" s="90" t="s">
        <v>8637</v>
      </c>
      <c r="B1913" s="90" t="s">
        <v>8638</v>
      </c>
      <c r="C1913" s="90" t="s">
        <v>6</v>
      </c>
      <c r="D1913" s="90" t="str">
        <f>VLOOKUP(Tabela1[[#This Row],[Origem]],'Perguntas 1 a 24'!$J$28:$K$34,2,FALSE)</f>
        <v>Nordeste</v>
      </c>
      <c r="E1913" s="90" t="s">
        <v>13251</v>
      </c>
      <c r="F1913" s="91">
        <v>46604</v>
      </c>
      <c r="G1913" s="92">
        <v>30405</v>
      </c>
      <c r="H1913" s="90" t="s">
        <v>9</v>
      </c>
      <c r="I19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13" s="90" t="s">
        <v>11302</v>
      </c>
    </row>
    <row r="1914" spans="1:11">
      <c r="A1914" s="90" t="s">
        <v>11301</v>
      </c>
      <c r="B1914" s="90" t="s">
        <v>11302</v>
      </c>
      <c r="C1914" s="90" t="s">
        <v>16</v>
      </c>
      <c r="D1914" s="90" t="str">
        <f>VLOOKUP(Tabela1[[#This Row],[Origem]],'Perguntas 1 a 24'!$J$28:$K$34,2,FALSE)</f>
        <v>Sudeste</v>
      </c>
      <c r="E1914" s="90" t="s">
        <v>13252</v>
      </c>
      <c r="F1914" s="91">
        <v>46604</v>
      </c>
      <c r="G1914" s="92">
        <v>75786</v>
      </c>
      <c r="H1914" s="90" t="s">
        <v>7</v>
      </c>
      <c r="I19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14" s="90" t="s">
        <v>4595</v>
      </c>
    </row>
    <row r="1915" spans="1:11">
      <c r="A1915" s="90" t="s">
        <v>4594</v>
      </c>
      <c r="B1915" s="90" t="s">
        <v>4595</v>
      </c>
      <c r="C1915" s="90" t="s">
        <v>16</v>
      </c>
      <c r="D1915" s="90" t="str">
        <f>VLOOKUP(Tabela1[[#This Row],[Origem]],'Perguntas 1 a 24'!$J$28:$K$34,2,FALSE)</f>
        <v>Sudeste</v>
      </c>
      <c r="E1915" s="90" t="s">
        <v>13253</v>
      </c>
      <c r="F1915" s="91">
        <v>46605</v>
      </c>
      <c r="G1915" s="92">
        <v>36072</v>
      </c>
      <c r="H1915" s="90" t="s">
        <v>9</v>
      </c>
      <c r="I19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15" s="90" t="s">
        <v>6039</v>
      </c>
    </row>
    <row r="1916" spans="1:11">
      <c r="A1916" s="90" t="s">
        <v>6038</v>
      </c>
      <c r="B1916" s="90" t="s">
        <v>6039</v>
      </c>
      <c r="C1916" s="90" t="s">
        <v>8</v>
      </c>
      <c r="D1916" s="90" t="str">
        <f>VLOOKUP(Tabela1[[#This Row],[Origem]],'Perguntas 1 a 24'!$J$28:$K$34,2,FALSE)</f>
        <v>Nordeste</v>
      </c>
      <c r="E1916" s="90" t="s">
        <v>13254</v>
      </c>
      <c r="F1916" s="91">
        <v>46605</v>
      </c>
      <c r="G1916" s="92">
        <v>101944</v>
      </c>
      <c r="H1916" s="90" t="s">
        <v>7</v>
      </c>
      <c r="I19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16" s="90" t="s">
        <v>9166</v>
      </c>
    </row>
    <row r="1917" spans="1:11">
      <c r="A1917" s="90" t="s">
        <v>9165</v>
      </c>
      <c r="B1917" s="90" t="s">
        <v>9166</v>
      </c>
      <c r="C1917" s="90" t="s">
        <v>10</v>
      </c>
      <c r="D1917" s="90" t="str">
        <f>VLOOKUP(Tabela1[[#This Row],[Origem]],'Perguntas 1 a 24'!$J$28:$K$34,2,FALSE)</f>
        <v>Centro-Oeste</v>
      </c>
      <c r="E1917" s="90" t="s">
        <v>13255</v>
      </c>
      <c r="F1917" s="91">
        <v>46605</v>
      </c>
      <c r="G1917" s="92">
        <v>25847</v>
      </c>
      <c r="H1917" s="90" t="s">
        <v>14</v>
      </c>
      <c r="I19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17" s="90" t="s">
        <v>4795</v>
      </c>
    </row>
    <row r="1918" spans="1:11">
      <c r="A1918" s="90" t="s">
        <v>4794</v>
      </c>
      <c r="B1918" s="90" t="s">
        <v>4795</v>
      </c>
      <c r="C1918" s="90" t="s">
        <v>6</v>
      </c>
      <c r="D1918" s="90" t="str">
        <f>VLOOKUP(Tabela1[[#This Row],[Origem]],'Perguntas 1 a 24'!$J$28:$K$34,2,FALSE)</f>
        <v>Nordeste</v>
      </c>
      <c r="E1918" s="90" t="s">
        <v>13256</v>
      </c>
      <c r="F1918" s="91">
        <v>46606</v>
      </c>
      <c r="G1918" s="92">
        <v>53178</v>
      </c>
      <c r="H1918" s="90" t="s">
        <v>7</v>
      </c>
      <c r="I19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18" s="90" t="s">
        <v>5145</v>
      </c>
    </row>
    <row r="1919" spans="1:11">
      <c r="A1919" s="90" t="s">
        <v>5144</v>
      </c>
      <c r="B1919" s="90" t="s">
        <v>5145</v>
      </c>
      <c r="C1919" s="90" t="s">
        <v>16</v>
      </c>
      <c r="D1919" s="90" t="str">
        <f>VLOOKUP(Tabela1[[#This Row],[Origem]],'Perguntas 1 a 24'!$J$28:$K$34,2,FALSE)</f>
        <v>Sudeste</v>
      </c>
      <c r="E1919" s="90" t="s">
        <v>13257</v>
      </c>
      <c r="F1919" s="91">
        <v>46607</v>
      </c>
      <c r="G1919" s="92">
        <v>79772</v>
      </c>
      <c r="H1919" s="90" t="s">
        <v>7</v>
      </c>
      <c r="I19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19" s="90" t="s">
        <v>5609</v>
      </c>
    </row>
    <row r="1920" spans="1:11">
      <c r="A1920" s="90" t="s">
        <v>5608</v>
      </c>
      <c r="B1920" s="90" t="s">
        <v>5609</v>
      </c>
      <c r="C1920" s="90" t="s">
        <v>13</v>
      </c>
      <c r="D1920" s="90" t="str">
        <f>VLOOKUP(Tabela1[[#This Row],[Origem]],'Perguntas 1 a 24'!$J$28:$K$34,2,FALSE)</f>
        <v>Sudeste</v>
      </c>
      <c r="E1920" s="90" t="s">
        <v>13258</v>
      </c>
      <c r="F1920" s="91">
        <v>46607</v>
      </c>
      <c r="G1920" s="92">
        <v>108458</v>
      </c>
      <c r="H1920" s="90" t="s">
        <v>14</v>
      </c>
      <c r="I19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20" s="90" t="s">
        <v>6077</v>
      </c>
    </row>
    <row r="1921" spans="1:11">
      <c r="A1921" s="90" t="s">
        <v>6076</v>
      </c>
      <c r="B1921" s="90" t="s">
        <v>6077</v>
      </c>
      <c r="C1921" s="90" t="s">
        <v>16</v>
      </c>
      <c r="D1921" s="90" t="str">
        <f>VLOOKUP(Tabela1[[#This Row],[Origem]],'Perguntas 1 a 24'!$J$28:$K$34,2,FALSE)</f>
        <v>Sudeste</v>
      </c>
      <c r="E1921" s="90" t="s">
        <v>13259</v>
      </c>
      <c r="F1921" s="91">
        <v>46607</v>
      </c>
      <c r="G1921" s="92">
        <v>80862</v>
      </c>
      <c r="H1921" s="90" t="s">
        <v>11</v>
      </c>
      <c r="I19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21" s="90" t="s">
        <v>6863</v>
      </c>
    </row>
    <row r="1922" spans="1:11">
      <c r="A1922" s="90" t="s">
        <v>6862</v>
      </c>
      <c r="B1922" s="90" t="s">
        <v>6863</v>
      </c>
      <c r="C1922" s="90" t="s">
        <v>10</v>
      </c>
      <c r="D1922" s="90" t="str">
        <f>VLOOKUP(Tabela1[[#This Row],[Origem]],'Perguntas 1 a 24'!$J$28:$K$34,2,FALSE)</f>
        <v>Centro-Oeste</v>
      </c>
      <c r="E1922" s="90" t="s">
        <v>13260</v>
      </c>
      <c r="F1922" s="91">
        <v>46607</v>
      </c>
      <c r="G1922" s="92">
        <v>76187</v>
      </c>
      <c r="H1922" s="90" t="s">
        <v>11</v>
      </c>
      <c r="I19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22" s="90" t="s">
        <v>5555</v>
      </c>
    </row>
    <row r="1923" spans="1:11">
      <c r="A1923" s="90" t="s">
        <v>5554</v>
      </c>
      <c r="B1923" s="90" t="s">
        <v>5555</v>
      </c>
      <c r="C1923" s="90" t="s">
        <v>8</v>
      </c>
      <c r="D1923" s="90" t="str">
        <f>VLOOKUP(Tabela1[[#This Row],[Origem]],'Perguntas 1 a 24'!$J$28:$K$34,2,FALSE)</f>
        <v>Nordeste</v>
      </c>
      <c r="E1923" s="90" t="s">
        <v>13261</v>
      </c>
      <c r="F1923" s="91">
        <v>46608</v>
      </c>
      <c r="G1923" s="92">
        <v>117242</v>
      </c>
      <c r="H1923" s="90" t="s">
        <v>9</v>
      </c>
      <c r="I19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23" s="90" t="s">
        <v>6771</v>
      </c>
    </row>
    <row r="1924" spans="1:11">
      <c r="A1924" s="90" t="s">
        <v>6770</v>
      </c>
      <c r="B1924" s="90" t="s">
        <v>6771</v>
      </c>
      <c r="C1924" s="90" t="s">
        <v>6</v>
      </c>
      <c r="D1924" s="90" t="str">
        <f>VLOOKUP(Tabela1[[#This Row],[Origem]],'Perguntas 1 a 24'!$J$28:$K$34,2,FALSE)</f>
        <v>Nordeste</v>
      </c>
      <c r="E1924" s="90" t="s">
        <v>13262</v>
      </c>
      <c r="F1924" s="91">
        <v>46609</v>
      </c>
      <c r="G1924" s="92">
        <v>98845</v>
      </c>
      <c r="H1924" s="90" t="s">
        <v>11</v>
      </c>
      <c r="I19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24" s="90" t="s">
        <v>9408</v>
      </c>
    </row>
    <row r="1925" spans="1:11">
      <c r="A1925" s="90" t="s">
        <v>9407</v>
      </c>
      <c r="B1925" s="90" t="s">
        <v>9408</v>
      </c>
      <c r="C1925" s="90" t="s">
        <v>10</v>
      </c>
      <c r="D1925" s="90" t="str">
        <f>VLOOKUP(Tabela1[[#This Row],[Origem]],'Perguntas 1 a 24'!$J$28:$K$34,2,FALSE)</f>
        <v>Centro-Oeste</v>
      </c>
      <c r="E1925" s="90" t="s">
        <v>13263</v>
      </c>
      <c r="F1925" s="91">
        <v>46610</v>
      </c>
      <c r="G1925" s="92">
        <v>60976</v>
      </c>
      <c r="H1925" s="90" t="s">
        <v>9</v>
      </c>
      <c r="I19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25" s="90" t="s">
        <v>8948</v>
      </c>
    </row>
    <row r="1926" spans="1:11">
      <c r="A1926" s="90" t="s">
        <v>8947</v>
      </c>
      <c r="B1926" s="90" t="s">
        <v>8948</v>
      </c>
      <c r="C1926" s="90" t="s">
        <v>13</v>
      </c>
      <c r="D1926" s="90" t="str">
        <f>VLOOKUP(Tabela1[[#This Row],[Origem]],'Perguntas 1 a 24'!$J$28:$K$34,2,FALSE)</f>
        <v>Sudeste</v>
      </c>
      <c r="E1926" s="90" t="s">
        <v>13264</v>
      </c>
      <c r="F1926" s="91">
        <v>46613</v>
      </c>
      <c r="G1926" s="92">
        <v>100741</v>
      </c>
      <c r="H1926" s="90" t="s">
        <v>9</v>
      </c>
      <c r="I19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26" s="90" t="s">
        <v>10570</v>
      </c>
    </row>
    <row r="1927" spans="1:11">
      <c r="A1927" s="90" t="s">
        <v>10569</v>
      </c>
      <c r="B1927" s="90" t="s">
        <v>10570</v>
      </c>
      <c r="C1927" s="90" t="s">
        <v>8</v>
      </c>
      <c r="D1927" s="90" t="str">
        <f>VLOOKUP(Tabela1[[#This Row],[Origem]],'Perguntas 1 a 24'!$J$28:$K$34,2,FALSE)</f>
        <v>Nordeste</v>
      </c>
      <c r="E1927" s="90" t="s">
        <v>13265</v>
      </c>
      <c r="F1927" s="91">
        <v>46613</v>
      </c>
      <c r="G1927" s="92">
        <v>44528</v>
      </c>
      <c r="H1927" s="90" t="s">
        <v>14</v>
      </c>
      <c r="I19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27" s="90" t="s">
        <v>5613</v>
      </c>
    </row>
    <row r="1928" spans="1:11">
      <c r="A1928" s="90" t="s">
        <v>5612</v>
      </c>
      <c r="B1928" s="90" t="s">
        <v>5613</v>
      </c>
      <c r="C1928" s="90" t="s">
        <v>6</v>
      </c>
      <c r="D1928" s="90" t="str">
        <f>VLOOKUP(Tabela1[[#This Row],[Origem]],'Perguntas 1 a 24'!$J$28:$K$34,2,FALSE)</f>
        <v>Nordeste</v>
      </c>
      <c r="E1928" s="90" t="s">
        <v>13266</v>
      </c>
      <c r="F1928" s="91">
        <v>46614</v>
      </c>
      <c r="G1928" s="92">
        <v>50247</v>
      </c>
      <c r="H1928" s="90" t="s">
        <v>9</v>
      </c>
      <c r="I19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28" s="90" t="s">
        <v>8588</v>
      </c>
    </row>
    <row r="1929" spans="1:11">
      <c r="A1929" s="90" t="s">
        <v>8587</v>
      </c>
      <c r="B1929" s="90" t="s">
        <v>8588</v>
      </c>
      <c r="C1929" s="90" t="s">
        <v>16</v>
      </c>
      <c r="D1929" s="90" t="str">
        <f>VLOOKUP(Tabela1[[#This Row],[Origem]],'Perguntas 1 a 24'!$J$28:$K$34,2,FALSE)</f>
        <v>Sudeste</v>
      </c>
      <c r="E1929" s="90" t="s">
        <v>13267</v>
      </c>
      <c r="F1929" s="91">
        <v>46614</v>
      </c>
      <c r="G1929" s="92">
        <v>43249</v>
      </c>
      <c r="H1929" s="90" t="s">
        <v>11</v>
      </c>
      <c r="I19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29" s="90" t="s">
        <v>9794</v>
      </c>
    </row>
    <row r="1930" spans="1:11">
      <c r="A1930" s="90" t="s">
        <v>9793</v>
      </c>
      <c r="B1930" s="90" t="s">
        <v>9794</v>
      </c>
      <c r="C1930" s="90" t="s">
        <v>8</v>
      </c>
      <c r="D1930" s="90" t="str">
        <f>VLOOKUP(Tabela1[[#This Row],[Origem]],'Perguntas 1 a 24'!$J$28:$K$34,2,FALSE)</f>
        <v>Nordeste</v>
      </c>
      <c r="E1930" s="90" t="s">
        <v>13268</v>
      </c>
      <c r="F1930" s="91">
        <v>46614</v>
      </c>
      <c r="G1930" s="92">
        <v>110913</v>
      </c>
      <c r="H1930" s="90" t="s">
        <v>11</v>
      </c>
      <c r="I19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30" s="90" t="s">
        <v>6141</v>
      </c>
    </row>
    <row r="1931" spans="1:11">
      <c r="A1931" s="90" t="s">
        <v>6140</v>
      </c>
      <c r="B1931" s="90" t="s">
        <v>6141</v>
      </c>
      <c r="C1931" s="90" t="s">
        <v>12</v>
      </c>
      <c r="D1931" s="90" t="str">
        <f>VLOOKUP(Tabela1[[#This Row],[Origem]],'Perguntas 1 a 24'!$J$28:$K$34,2,FALSE)</f>
        <v>Sudeste</v>
      </c>
      <c r="E1931" s="90" t="s">
        <v>13269</v>
      </c>
      <c r="F1931" s="91">
        <v>46615</v>
      </c>
      <c r="G1931" s="92">
        <v>88111</v>
      </c>
      <c r="H1931" s="90" t="s">
        <v>7</v>
      </c>
      <c r="I19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31" s="90" t="s">
        <v>9188</v>
      </c>
    </row>
    <row r="1932" spans="1:11">
      <c r="A1932" s="90" t="s">
        <v>9187</v>
      </c>
      <c r="B1932" s="90" t="s">
        <v>9188</v>
      </c>
      <c r="C1932" s="90" t="s">
        <v>8</v>
      </c>
      <c r="D1932" s="90" t="str">
        <f>VLOOKUP(Tabela1[[#This Row],[Origem]],'Perguntas 1 a 24'!$J$28:$K$34,2,FALSE)</f>
        <v>Nordeste</v>
      </c>
      <c r="E1932" s="90" t="s">
        <v>13270</v>
      </c>
      <c r="F1932" s="91">
        <v>46615</v>
      </c>
      <c r="G1932" s="92">
        <v>106549</v>
      </c>
      <c r="H1932" s="90" t="s">
        <v>9</v>
      </c>
      <c r="I19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32" s="90" t="s">
        <v>9604</v>
      </c>
    </row>
    <row r="1933" spans="1:11">
      <c r="A1933" s="90" t="s">
        <v>9603</v>
      </c>
      <c r="B1933" s="90" t="s">
        <v>9604</v>
      </c>
      <c r="C1933" s="90" t="s">
        <v>16</v>
      </c>
      <c r="D1933" s="90" t="str">
        <f>VLOOKUP(Tabela1[[#This Row],[Origem]],'Perguntas 1 a 24'!$J$28:$K$34,2,FALSE)</f>
        <v>Sudeste</v>
      </c>
      <c r="E1933" s="90" t="s">
        <v>13271</v>
      </c>
      <c r="F1933" s="91">
        <v>46615</v>
      </c>
      <c r="G1933" s="92">
        <v>99103</v>
      </c>
      <c r="H1933" s="90" t="s">
        <v>11</v>
      </c>
      <c r="I19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33" s="90" t="s">
        <v>5925</v>
      </c>
    </row>
    <row r="1934" spans="1:11">
      <c r="A1934" s="90" t="s">
        <v>5924</v>
      </c>
      <c r="B1934" s="90" t="s">
        <v>5925</v>
      </c>
      <c r="C1934" s="90" t="s">
        <v>15</v>
      </c>
      <c r="D1934" s="90" t="str">
        <f>VLOOKUP(Tabela1[[#This Row],[Origem]],'Perguntas 1 a 24'!$J$28:$K$34,2,FALSE)</f>
        <v>Sudeste</v>
      </c>
      <c r="E1934" s="90" t="s">
        <v>13272</v>
      </c>
      <c r="F1934" s="91">
        <v>46616</v>
      </c>
      <c r="G1934" s="92">
        <v>78661</v>
      </c>
      <c r="H1934" s="90" t="s">
        <v>9</v>
      </c>
      <c r="I19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34" s="90" t="s">
        <v>6535</v>
      </c>
    </row>
    <row r="1935" spans="1:11">
      <c r="A1935" s="90" t="s">
        <v>6534</v>
      </c>
      <c r="B1935" s="90" t="s">
        <v>6535</v>
      </c>
      <c r="C1935" s="90" t="s">
        <v>12</v>
      </c>
      <c r="D1935" s="90" t="str">
        <f>VLOOKUP(Tabela1[[#This Row],[Origem]],'Perguntas 1 a 24'!$J$28:$K$34,2,FALSE)</f>
        <v>Sudeste</v>
      </c>
      <c r="E1935" s="90" t="s">
        <v>13273</v>
      </c>
      <c r="F1935" s="91">
        <v>46618</v>
      </c>
      <c r="G1935" s="92">
        <v>25903</v>
      </c>
      <c r="H1935" s="90" t="s">
        <v>14</v>
      </c>
      <c r="I19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35" s="90" t="s">
        <v>7825</v>
      </c>
    </row>
    <row r="1936" spans="1:11">
      <c r="A1936" s="90" t="s">
        <v>7824</v>
      </c>
      <c r="B1936" s="90" t="s">
        <v>7825</v>
      </c>
      <c r="C1936" s="90" t="s">
        <v>16</v>
      </c>
      <c r="D1936" s="90" t="str">
        <f>VLOOKUP(Tabela1[[#This Row],[Origem]],'Perguntas 1 a 24'!$J$28:$K$34,2,FALSE)</f>
        <v>Sudeste</v>
      </c>
      <c r="E1936" s="90" t="s">
        <v>13274</v>
      </c>
      <c r="F1936" s="91">
        <v>46618</v>
      </c>
      <c r="G1936" s="92">
        <v>89334</v>
      </c>
      <c r="H1936" s="90" t="s">
        <v>9</v>
      </c>
      <c r="I19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36" s="90" t="s">
        <v>11310</v>
      </c>
    </row>
    <row r="1937" spans="1:11">
      <c r="A1937" s="90" t="s">
        <v>11309</v>
      </c>
      <c r="B1937" s="90" t="s">
        <v>11310</v>
      </c>
      <c r="C1937" s="90" t="s">
        <v>6</v>
      </c>
      <c r="D1937" s="90" t="str">
        <f>VLOOKUP(Tabela1[[#This Row],[Origem]],'Perguntas 1 a 24'!$J$28:$K$34,2,FALSE)</f>
        <v>Nordeste</v>
      </c>
      <c r="E1937" s="90" t="s">
        <v>13275</v>
      </c>
      <c r="F1937" s="91">
        <v>46618</v>
      </c>
      <c r="G1937" s="92">
        <v>95900</v>
      </c>
      <c r="H1937" s="90" t="s">
        <v>9</v>
      </c>
      <c r="I19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37" s="90" t="s">
        <v>6219</v>
      </c>
    </row>
    <row r="1938" spans="1:11">
      <c r="A1938" s="90" t="s">
        <v>6218</v>
      </c>
      <c r="B1938" s="90" t="s">
        <v>6219</v>
      </c>
      <c r="C1938" s="90" t="s">
        <v>8</v>
      </c>
      <c r="D1938" s="90" t="str">
        <f>VLOOKUP(Tabela1[[#This Row],[Origem]],'Perguntas 1 a 24'!$J$28:$K$34,2,FALSE)</f>
        <v>Nordeste</v>
      </c>
      <c r="E1938" s="90" t="s">
        <v>13276</v>
      </c>
      <c r="F1938" s="91">
        <v>46619</v>
      </c>
      <c r="G1938" s="92">
        <v>116697</v>
      </c>
      <c r="H1938" s="90" t="s">
        <v>7</v>
      </c>
      <c r="I19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38" s="90" t="s">
        <v>7153</v>
      </c>
    </row>
    <row r="1939" spans="1:11">
      <c r="A1939" s="90" t="s">
        <v>7152</v>
      </c>
      <c r="B1939" s="90" t="s">
        <v>7153</v>
      </c>
      <c r="C1939" s="90" t="s">
        <v>6</v>
      </c>
      <c r="D1939" s="90" t="str">
        <f>VLOOKUP(Tabela1[[#This Row],[Origem]],'Perguntas 1 a 24'!$J$28:$K$34,2,FALSE)</f>
        <v>Nordeste</v>
      </c>
      <c r="E1939" s="90" t="s">
        <v>13277</v>
      </c>
      <c r="F1939" s="91">
        <v>46619</v>
      </c>
      <c r="G1939" s="92">
        <v>49118</v>
      </c>
      <c r="H1939" s="90" t="s">
        <v>7</v>
      </c>
      <c r="I19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39" s="90" t="s">
        <v>8425</v>
      </c>
    </row>
    <row r="1940" spans="1:11">
      <c r="A1940" s="90" t="s">
        <v>8424</v>
      </c>
      <c r="B1940" s="90" t="s">
        <v>8425</v>
      </c>
      <c r="C1940" s="90" t="s">
        <v>8</v>
      </c>
      <c r="D1940" s="90" t="str">
        <f>VLOOKUP(Tabela1[[#This Row],[Origem]],'Perguntas 1 a 24'!$J$28:$K$34,2,FALSE)</f>
        <v>Nordeste</v>
      </c>
      <c r="E1940" s="90" t="s">
        <v>13278</v>
      </c>
      <c r="F1940" s="91">
        <v>46619</v>
      </c>
      <c r="G1940" s="92">
        <v>43370</v>
      </c>
      <c r="H1940" s="90" t="s">
        <v>9</v>
      </c>
      <c r="I19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40" s="90" t="s">
        <v>9806</v>
      </c>
    </row>
    <row r="1941" spans="1:11">
      <c r="A1941" s="90" t="s">
        <v>9805</v>
      </c>
      <c r="B1941" s="90" t="s">
        <v>9806</v>
      </c>
      <c r="C1941" s="90" t="s">
        <v>6</v>
      </c>
      <c r="D1941" s="90" t="str">
        <f>VLOOKUP(Tabela1[[#This Row],[Origem]],'Perguntas 1 a 24'!$J$28:$K$34,2,FALSE)</f>
        <v>Nordeste</v>
      </c>
      <c r="E1941" s="90" t="s">
        <v>13279</v>
      </c>
      <c r="F1941" s="91">
        <v>46621</v>
      </c>
      <c r="G1941" s="92">
        <v>62214</v>
      </c>
      <c r="H1941" s="90" t="s">
        <v>11</v>
      </c>
      <c r="I19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41" s="90" t="s">
        <v>10736</v>
      </c>
    </row>
    <row r="1942" spans="1:11">
      <c r="A1942" s="90" t="s">
        <v>10735</v>
      </c>
      <c r="B1942" s="90" t="s">
        <v>10736</v>
      </c>
      <c r="C1942" s="90" t="s">
        <v>13</v>
      </c>
      <c r="D1942" s="90" t="str">
        <f>VLOOKUP(Tabela1[[#This Row],[Origem]],'Perguntas 1 a 24'!$J$28:$K$34,2,FALSE)</f>
        <v>Sudeste</v>
      </c>
      <c r="E1942" s="90" t="s">
        <v>13280</v>
      </c>
      <c r="F1942" s="91">
        <v>46621</v>
      </c>
      <c r="G1942" s="92">
        <v>25997</v>
      </c>
      <c r="H1942" s="90" t="s">
        <v>7</v>
      </c>
      <c r="I19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42" s="90" t="s">
        <v>5571</v>
      </c>
    </row>
    <row r="1943" spans="1:11">
      <c r="A1943" s="90" t="s">
        <v>5570</v>
      </c>
      <c r="B1943" s="90" t="s">
        <v>5571</v>
      </c>
      <c r="C1943" s="90" t="s">
        <v>8</v>
      </c>
      <c r="D1943" s="90" t="str">
        <f>VLOOKUP(Tabela1[[#This Row],[Origem]],'Perguntas 1 a 24'!$J$28:$K$34,2,FALSE)</f>
        <v>Nordeste</v>
      </c>
      <c r="E1943" s="90" t="s">
        <v>13281</v>
      </c>
      <c r="F1943" s="91">
        <v>46622</v>
      </c>
      <c r="G1943" s="92">
        <v>77526</v>
      </c>
      <c r="H1943" s="90" t="s">
        <v>7</v>
      </c>
      <c r="I19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43" s="90" t="s">
        <v>6953</v>
      </c>
    </row>
    <row r="1944" spans="1:11">
      <c r="A1944" s="90" t="s">
        <v>6952</v>
      </c>
      <c r="B1944" s="90" t="s">
        <v>6953</v>
      </c>
      <c r="C1944" s="90" t="s">
        <v>16</v>
      </c>
      <c r="D1944" s="90" t="str">
        <f>VLOOKUP(Tabela1[[#This Row],[Origem]],'Perguntas 1 a 24'!$J$28:$K$34,2,FALSE)</f>
        <v>Sudeste</v>
      </c>
      <c r="E1944" s="90" t="s">
        <v>13282</v>
      </c>
      <c r="F1944" s="91">
        <v>46622</v>
      </c>
      <c r="G1944" s="92">
        <v>46860</v>
      </c>
      <c r="H1944" s="90" t="s">
        <v>11</v>
      </c>
      <c r="I19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44" s="90" t="s">
        <v>7151</v>
      </c>
    </row>
    <row r="1945" spans="1:11">
      <c r="A1945" s="90" t="s">
        <v>7150</v>
      </c>
      <c r="B1945" s="90" t="s">
        <v>7151</v>
      </c>
      <c r="C1945" s="90" t="s">
        <v>13</v>
      </c>
      <c r="D1945" s="90" t="str">
        <f>VLOOKUP(Tabela1[[#This Row],[Origem]],'Perguntas 1 a 24'!$J$28:$K$34,2,FALSE)</f>
        <v>Sudeste</v>
      </c>
      <c r="E1945" s="90" t="s">
        <v>13283</v>
      </c>
      <c r="F1945" s="91">
        <v>46622</v>
      </c>
      <c r="G1945" s="92">
        <v>108190</v>
      </c>
      <c r="H1945" s="90" t="s">
        <v>11</v>
      </c>
      <c r="I19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45" s="90" t="s">
        <v>10076</v>
      </c>
    </row>
    <row r="1946" spans="1:11">
      <c r="A1946" s="90" t="s">
        <v>10075</v>
      </c>
      <c r="B1946" s="90" t="s">
        <v>10076</v>
      </c>
      <c r="C1946" s="90" t="s">
        <v>15</v>
      </c>
      <c r="D1946" s="90" t="str">
        <f>VLOOKUP(Tabela1[[#This Row],[Origem]],'Perguntas 1 a 24'!$J$28:$K$34,2,FALSE)</f>
        <v>Sudeste</v>
      </c>
      <c r="E1946" s="90" t="s">
        <v>13284</v>
      </c>
      <c r="F1946" s="91">
        <v>46622</v>
      </c>
      <c r="G1946" s="92">
        <v>37610</v>
      </c>
      <c r="H1946" s="90" t="s">
        <v>14</v>
      </c>
      <c r="I19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46" s="90" t="s">
        <v>9960</v>
      </c>
    </row>
    <row r="1947" spans="1:11">
      <c r="A1947" s="90" t="s">
        <v>9959</v>
      </c>
      <c r="B1947" s="90" t="s">
        <v>9960</v>
      </c>
      <c r="C1947" s="90" t="s">
        <v>15</v>
      </c>
      <c r="D1947" s="90" t="str">
        <f>VLOOKUP(Tabela1[[#This Row],[Origem]],'Perguntas 1 a 24'!$J$28:$K$34,2,FALSE)</f>
        <v>Sudeste</v>
      </c>
      <c r="E1947" s="90" t="s">
        <v>13285</v>
      </c>
      <c r="F1947" s="91">
        <v>46623</v>
      </c>
      <c r="G1947" s="92">
        <v>96238</v>
      </c>
      <c r="H1947" s="90" t="s">
        <v>7</v>
      </c>
      <c r="I19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47" s="90" t="s">
        <v>9994</v>
      </c>
    </row>
    <row r="1948" spans="1:11">
      <c r="A1948" s="90" t="s">
        <v>9993</v>
      </c>
      <c r="B1948" s="90" t="s">
        <v>9994</v>
      </c>
      <c r="C1948" s="90" t="s">
        <v>8</v>
      </c>
      <c r="D1948" s="90" t="str">
        <f>VLOOKUP(Tabela1[[#This Row],[Origem]],'Perguntas 1 a 24'!$J$28:$K$34,2,FALSE)</f>
        <v>Nordeste</v>
      </c>
      <c r="E1948" s="90" t="s">
        <v>13286</v>
      </c>
      <c r="F1948" s="91">
        <v>46624</v>
      </c>
      <c r="G1948" s="92">
        <v>64888</v>
      </c>
      <c r="H1948" s="90" t="s">
        <v>14</v>
      </c>
      <c r="I19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48" s="90" t="s">
        <v>10542</v>
      </c>
    </row>
    <row r="1949" spans="1:11">
      <c r="A1949" s="90" t="s">
        <v>10541</v>
      </c>
      <c r="B1949" s="90" t="s">
        <v>10542</v>
      </c>
      <c r="C1949" s="90" t="s">
        <v>10</v>
      </c>
      <c r="D1949" s="90" t="str">
        <f>VLOOKUP(Tabela1[[#This Row],[Origem]],'Perguntas 1 a 24'!$J$28:$K$34,2,FALSE)</f>
        <v>Centro-Oeste</v>
      </c>
      <c r="E1949" s="90" t="s">
        <v>13287</v>
      </c>
      <c r="F1949" s="91">
        <v>46624</v>
      </c>
      <c r="G1949" s="92">
        <v>34443</v>
      </c>
      <c r="H1949" s="90" t="s">
        <v>9</v>
      </c>
      <c r="I19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49" s="90" t="s">
        <v>4693</v>
      </c>
    </row>
    <row r="1950" spans="1:11">
      <c r="A1950" s="90" t="s">
        <v>4692</v>
      </c>
      <c r="B1950" s="90" t="s">
        <v>4693</v>
      </c>
      <c r="C1950" s="90" t="s">
        <v>12</v>
      </c>
      <c r="D1950" s="90" t="str">
        <f>VLOOKUP(Tabela1[[#This Row],[Origem]],'Perguntas 1 a 24'!$J$28:$K$34,2,FALSE)</f>
        <v>Sudeste</v>
      </c>
      <c r="E1950" s="90" t="s">
        <v>13288</v>
      </c>
      <c r="F1950" s="91">
        <v>46625</v>
      </c>
      <c r="G1950" s="92">
        <v>44830</v>
      </c>
      <c r="H1950" s="90" t="s">
        <v>11</v>
      </c>
      <c r="I19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50" s="90" t="s">
        <v>10550</v>
      </c>
    </row>
    <row r="1951" spans="1:11">
      <c r="A1951" s="90" t="s">
        <v>10549</v>
      </c>
      <c r="B1951" s="90" t="s">
        <v>10550</v>
      </c>
      <c r="C1951" s="90" t="s">
        <v>13</v>
      </c>
      <c r="D1951" s="90" t="str">
        <f>VLOOKUP(Tabela1[[#This Row],[Origem]],'Perguntas 1 a 24'!$J$28:$K$34,2,FALSE)</f>
        <v>Sudeste</v>
      </c>
      <c r="E1951" s="90" t="s">
        <v>13289</v>
      </c>
      <c r="F1951" s="91">
        <v>46626</v>
      </c>
      <c r="G1951" s="92">
        <v>112730</v>
      </c>
      <c r="H1951" s="90" t="s">
        <v>11</v>
      </c>
      <c r="I19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51" s="90" t="s">
        <v>7589</v>
      </c>
    </row>
    <row r="1952" spans="1:11">
      <c r="A1952" s="90" t="s">
        <v>7588</v>
      </c>
      <c r="B1952" s="90" t="s">
        <v>7589</v>
      </c>
      <c r="C1952" s="90" t="s">
        <v>16</v>
      </c>
      <c r="D1952" s="90" t="str">
        <f>VLOOKUP(Tabela1[[#This Row],[Origem]],'Perguntas 1 a 24'!$J$28:$K$34,2,FALSE)</f>
        <v>Sudeste</v>
      </c>
      <c r="E1952" s="90" t="s">
        <v>13290</v>
      </c>
      <c r="F1952" s="91">
        <v>46627</v>
      </c>
      <c r="G1952" s="92">
        <v>35807</v>
      </c>
      <c r="H1952" s="90" t="s">
        <v>11</v>
      </c>
      <c r="I19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52" s="90" t="s">
        <v>6327</v>
      </c>
    </row>
    <row r="1953" spans="1:11">
      <c r="A1953" s="90" t="s">
        <v>6326</v>
      </c>
      <c r="B1953" s="90" t="s">
        <v>6327</v>
      </c>
      <c r="C1953" s="90" t="s">
        <v>13</v>
      </c>
      <c r="D1953" s="90" t="str">
        <f>VLOOKUP(Tabela1[[#This Row],[Origem]],'Perguntas 1 a 24'!$J$28:$K$34,2,FALSE)</f>
        <v>Sudeste</v>
      </c>
      <c r="E1953" s="90" t="s">
        <v>13291</v>
      </c>
      <c r="F1953" s="91">
        <v>46628</v>
      </c>
      <c r="G1953" s="92">
        <v>77846</v>
      </c>
      <c r="H1953" s="90" t="s">
        <v>9</v>
      </c>
      <c r="I19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53" s="90" t="s">
        <v>3686</v>
      </c>
    </row>
    <row r="1954" spans="1:11">
      <c r="A1954" s="90" t="s">
        <v>3685</v>
      </c>
      <c r="B1954" s="90" t="s">
        <v>3686</v>
      </c>
      <c r="C1954" s="90" t="s">
        <v>12</v>
      </c>
      <c r="D1954" s="90" t="str">
        <f>VLOOKUP(Tabela1[[#This Row],[Origem]],'Perguntas 1 a 24'!$J$28:$K$34,2,FALSE)</f>
        <v>Sudeste</v>
      </c>
      <c r="E1954" s="90" t="s">
        <v>13292</v>
      </c>
      <c r="F1954" s="91">
        <v>46631</v>
      </c>
      <c r="G1954" s="92">
        <v>37770</v>
      </c>
      <c r="H1954" s="90" t="s">
        <v>9</v>
      </c>
      <c r="I19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54" s="90" t="s">
        <v>8960</v>
      </c>
    </row>
    <row r="1955" spans="1:11">
      <c r="A1955" s="90" t="s">
        <v>8959</v>
      </c>
      <c r="B1955" s="90" t="s">
        <v>8960</v>
      </c>
      <c r="C1955" s="90" t="s">
        <v>10</v>
      </c>
      <c r="D1955" s="90" t="str">
        <f>VLOOKUP(Tabela1[[#This Row],[Origem]],'Perguntas 1 a 24'!$J$28:$K$34,2,FALSE)</f>
        <v>Centro-Oeste</v>
      </c>
      <c r="E1955" s="90" t="s">
        <v>13293</v>
      </c>
      <c r="F1955" s="91">
        <v>46631</v>
      </c>
      <c r="G1955" s="92">
        <v>68205</v>
      </c>
      <c r="H1955" s="90" t="s">
        <v>9</v>
      </c>
      <c r="I19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55" s="90" t="s">
        <v>6745</v>
      </c>
    </row>
    <row r="1956" spans="1:11">
      <c r="A1956" s="90" t="s">
        <v>6744</v>
      </c>
      <c r="B1956" s="90" t="s">
        <v>6745</v>
      </c>
      <c r="C1956" s="90" t="s">
        <v>13</v>
      </c>
      <c r="D1956" s="90" t="str">
        <f>VLOOKUP(Tabela1[[#This Row],[Origem]],'Perguntas 1 a 24'!$J$28:$K$34,2,FALSE)</f>
        <v>Sudeste</v>
      </c>
      <c r="E1956" s="90" t="s">
        <v>13294</v>
      </c>
      <c r="F1956" s="91">
        <v>46632</v>
      </c>
      <c r="G1956" s="92">
        <v>90460</v>
      </c>
      <c r="H1956" s="90" t="s">
        <v>11</v>
      </c>
      <c r="I19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56" s="90" t="s">
        <v>10989</v>
      </c>
    </row>
    <row r="1957" spans="1:11">
      <c r="A1957" s="90" t="s">
        <v>10988</v>
      </c>
      <c r="B1957" s="90" t="s">
        <v>10989</v>
      </c>
      <c r="C1957" s="90" t="s">
        <v>12</v>
      </c>
      <c r="D1957" s="90" t="str">
        <f>VLOOKUP(Tabela1[[#This Row],[Origem]],'Perguntas 1 a 24'!$J$28:$K$34,2,FALSE)</f>
        <v>Sudeste</v>
      </c>
      <c r="E1957" s="90" t="s">
        <v>13295</v>
      </c>
      <c r="F1957" s="91">
        <v>46633</v>
      </c>
      <c r="G1957" s="92">
        <v>56743</v>
      </c>
      <c r="H1957" s="90" t="s">
        <v>9</v>
      </c>
      <c r="I19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57" s="90" t="s">
        <v>4767</v>
      </c>
    </row>
    <row r="1958" spans="1:11">
      <c r="A1958" s="90" t="s">
        <v>4766</v>
      </c>
      <c r="B1958" s="90" t="s">
        <v>4767</v>
      </c>
      <c r="C1958" s="90" t="s">
        <v>8</v>
      </c>
      <c r="D1958" s="90" t="str">
        <f>VLOOKUP(Tabela1[[#This Row],[Origem]],'Perguntas 1 a 24'!$J$28:$K$34,2,FALSE)</f>
        <v>Nordeste</v>
      </c>
      <c r="E1958" s="90" t="s">
        <v>13296</v>
      </c>
      <c r="F1958" s="91">
        <v>46634</v>
      </c>
      <c r="G1958" s="92">
        <v>62241</v>
      </c>
      <c r="H1958" s="90" t="s">
        <v>11</v>
      </c>
      <c r="I19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58" s="90" t="s">
        <v>5101</v>
      </c>
    </row>
    <row r="1959" spans="1:11">
      <c r="A1959" s="90" t="s">
        <v>5100</v>
      </c>
      <c r="B1959" s="90" t="s">
        <v>5101</v>
      </c>
      <c r="C1959" s="90" t="s">
        <v>8</v>
      </c>
      <c r="D1959" s="90" t="str">
        <f>VLOOKUP(Tabela1[[#This Row],[Origem]],'Perguntas 1 a 24'!$J$28:$K$34,2,FALSE)</f>
        <v>Nordeste</v>
      </c>
      <c r="E1959" s="90" t="s">
        <v>13297</v>
      </c>
      <c r="F1959" s="91">
        <v>46634</v>
      </c>
      <c r="G1959" s="92">
        <v>94774</v>
      </c>
      <c r="H1959" s="90" t="s">
        <v>7</v>
      </c>
      <c r="I19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59" s="90" t="s">
        <v>7641</v>
      </c>
    </row>
    <row r="1960" spans="1:11">
      <c r="A1960" s="90" t="s">
        <v>7640</v>
      </c>
      <c r="B1960" s="90" t="s">
        <v>7641</v>
      </c>
      <c r="C1960" s="90" t="s">
        <v>15</v>
      </c>
      <c r="D1960" s="90" t="str">
        <f>VLOOKUP(Tabela1[[#This Row],[Origem]],'Perguntas 1 a 24'!$J$28:$K$34,2,FALSE)</f>
        <v>Sudeste</v>
      </c>
      <c r="E1960" s="90" t="s">
        <v>13298</v>
      </c>
      <c r="F1960" s="91">
        <v>46634</v>
      </c>
      <c r="G1960" s="92">
        <v>54023</v>
      </c>
      <c r="H1960" s="90" t="s">
        <v>11</v>
      </c>
      <c r="I19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60" s="90" t="s">
        <v>10370</v>
      </c>
    </row>
    <row r="1961" spans="1:11">
      <c r="A1961" s="90" t="s">
        <v>10369</v>
      </c>
      <c r="B1961" s="90" t="s">
        <v>10370</v>
      </c>
      <c r="C1961" s="90" t="s">
        <v>16</v>
      </c>
      <c r="D1961" s="90" t="str">
        <f>VLOOKUP(Tabela1[[#This Row],[Origem]],'Perguntas 1 a 24'!$J$28:$K$34,2,FALSE)</f>
        <v>Sudeste</v>
      </c>
      <c r="E1961" s="90" t="s">
        <v>13299</v>
      </c>
      <c r="F1961" s="91">
        <v>46634</v>
      </c>
      <c r="G1961" s="92">
        <v>109761</v>
      </c>
      <c r="H1961" s="90" t="s">
        <v>14</v>
      </c>
      <c r="I19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61" s="90" t="s">
        <v>11091</v>
      </c>
    </row>
    <row r="1962" spans="1:11">
      <c r="A1962" s="90" t="s">
        <v>11090</v>
      </c>
      <c r="B1962" s="90" t="s">
        <v>11091</v>
      </c>
      <c r="C1962" s="90" t="s">
        <v>13</v>
      </c>
      <c r="D1962" s="90" t="str">
        <f>VLOOKUP(Tabela1[[#This Row],[Origem]],'Perguntas 1 a 24'!$J$28:$K$34,2,FALSE)</f>
        <v>Sudeste</v>
      </c>
      <c r="E1962" s="90" t="s">
        <v>13300</v>
      </c>
      <c r="F1962" s="91">
        <v>46635</v>
      </c>
      <c r="G1962" s="92">
        <v>68631</v>
      </c>
      <c r="H1962" s="90" t="s">
        <v>14</v>
      </c>
      <c r="I19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62" s="90" t="s">
        <v>3889</v>
      </c>
    </row>
    <row r="1963" spans="1:11">
      <c r="A1963" s="90" t="s">
        <v>3888</v>
      </c>
      <c r="B1963" s="90" t="s">
        <v>3889</v>
      </c>
      <c r="C1963" s="90" t="s">
        <v>15</v>
      </c>
      <c r="D1963" s="90" t="str">
        <f>VLOOKUP(Tabela1[[#This Row],[Origem]],'Perguntas 1 a 24'!$J$28:$K$34,2,FALSE)</f>
        <v>Sudeste</v>
      </c>
      <c r="E1963" s="90" t="s">
        <v>13301</v>
      </c>
      <c r="F1963" s="91">
        <v>46636</v>
      </c>
      <c r="G1963" s="92">
        <v>99170</v>
      </c>
      <c r="H1963" s="90" t="s">
        <v>11</v>
      </c>
      <c r="I19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63" s="90" t="s">
        <v>7613</v>
      </c>
    </row>
    <row r="1964" spans="1:11">
      <c r="A1964" s="90" t="s">
        <v>7612</v>
      </c>
      <c r="B1964" s="90" t="s">
        <v>7613</v>
      </c>
      <c r="C1964" s="90" t="s">
        <v>10</v>
      </c>
      <c r="D1964" s="90" t="str">
        <f>VLOOKUP(Tabela1[[#This Row],[Origem]],'Perguntas 1 a 24'!$J$28:$K$34,2,FALSE)</f>
        <v>Centro-Oeste</v>
      </c>
      <c r="E1964" s="90" t="s">
        <v>13302</v>
      </c>
      <c r="F1964" s="91">
        <v>46636</v>
      </c>
      <c r="G1964" s="92">
        <v>46522</v>
      </c>
      <c r="H1964" s="90" t="s">
        <v>7</v>
      </c>
      <c r="I19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64" s="90" t="s">
        <v>5335</v>
      </c>
    </row>
    <row r="1965" spans="1:11">
      <c r="A1965" s="90" t="s">
        <v>5334</v>
      </c>
      <c r="B1965" s="90" t="s">
        <v>5335</v>
      </c>
      <c r="C1965" s="90" t="s">
        <v>12</v>
      </c>
      <c r="D1965" s="90" t="str">
        <f>VLOOKUP(Tabela1[[#This Row],[Origem]],'Perguntas 1 a 24'!$J$28:$K$34,2,FALSE)</f>
        <v>Sudeste</v>
      </c>
      <c r="E1965" s="90" t="s">
        <v>13303</v>
      </c>
      <c r="F1965" s="91">
        <v>46637</v>
      </c>
      <c r="G1965" s="92">
        <v>39099</v>
      </c>
      <c r="H1965" s="90" t="s">
        <v>11</v>
      </c>
      <c r="I19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65" s="90" t="s">
        <v>8031</v>
      </c>
    </row>
    <row r="1966" spans="1:11">
      <c r="A1966" s="90" t="s">
        <v>8030</v>
      </c>
      <c r="B1966" s="90" t="s">
        <v>8031</v>
      </c>
      <c r="C1966" s="90" t="s">
        <v>10</v>
      </c>
      <c r="D1966" s="90" t="str">
        <f>VLOOKUP(Tabela1[[#This Row],[Origem]],'Perguntas 1 a 24'!$J$28:$K$34,2,FALSE)</f>
        <v>Centro-Oeste</v>
      </c>
      <c r="E1966" s="90" t="s">
        <v>13304</v>
      </c>
      <c r="F1966" s="91">
        <v>46637</v>
      </c>
      <c r="G1966" s="92">
        <v>104444</v>
      </c>
      <c r="H1966" s="90" t="s">
        <v>11</v>
      </c>
      <c r="I19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66" s="90" t="s">
        <v>10136</v>
      </c>
    </row>
    <row r="1967" spans="1:11">
      <c r="A1967" s="90" t="s">
        <v>10135</v>
      </c>
      <c r="B1967" s="90" t="s">
        <v>10136</v>
      </c>
      <c r="C1967" s="90" t="s">
        <v>12</v>
      </c>
      <c r="D1967" s="90" t="str">
        <f>VLOOKUP(Tabela1[[#This Row],[Origem]],'Perguntas 1 a 24'!$J$28:$K$34,2,FALSE)</f>
        <v>Sudeste</v>
      </c>
      <c r="E1967" s="90" t="s">
        <v>13305</v>
      </c>
      <c r="F1967" s="91">
        <v>46637</v>
      </c>
      <c r="G1967" s="92">
        <v>27431</v>
      </c>
      <c r="H1967" s="90" t="s">
        <v>11</v>
      </c>
      <c r="I19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67" s="90" t="s">
        <v>4977</v>
      </c>
    </row>
    <row r="1968" spans="1:11">
      <c r="A1968" s="90" t="s">
        <v>4976</v>
      </c>
      <c r="B1968" s="90" t="s">
        <v>4977</v>
      </c>
      <c r="C1968" s="90" t="s">
        <v>8</v>
      </c>
      <c r="D1968" s="90" t="str">
        <f>VLOOKUP(Tabela1[[#This Row],[Origem]],'Perguntas 1 a 24'!$J$28:$K$34,2,FALSE)</f>
        <v>Nordeste</v>
      </c>
      <c r="E1968" s="90" t="s">
        <v>13306</v>
      </c>
      <c r="F1968" s="91">
        <v>46638</v>
      </c>
      <c r="G1968" s="92">
        <v>29403</v>
      </c>
      <c r="H1968" s="90" t="s">
        <v>9</v>
      </c>
      <c r="I19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68" s="90" t="s">
        <v>5893</v>
      </c>
    </row>
    <row r="1969" spans="1:11">
      <c r="A1969" s="90" t="s">
        <v>5892</v>
      </c>
      <c r="B1969" s="90" t="s">
        <v>5893</v>
      </c>
      <c r="C1969" s="90" t="s">
        <v>6</v>
      </c>
      <c r="D1969" s="90" t="str">
        <f>VLOOKUP(Tabela1[[#This Row],[Origem]],'Perguntas 1 a 24'!$J$28:$K$34,2,FALSE)</f>
        <v>Nordeste</v>
      </c>
      <c r="E1969" s="90" t="s">
        <v>13307</v>
      </c>
      <c r="F1969" s="91">
        <v>46638</v>
      </c>
      <c r="G1969" s="92">
        <v>115085</v>
      </c>
      <c r="H1969" s="90" t="s">
        <v>7</v>
      </c>
      <c r="I19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69" s="90" t="s">
        <v>5717</v>
      </c>
    </row>
    <row r="1970" spans="1:11">
      <c r="A1970" s="90" t="s">
        <v>5716</v>
      </c>
      <c r="B1970" s="90" t="s">
        <v>5717</v>
      </c>
      <c r="C1970" s="90" t="s">
        <v>16</v>
      </c>
      <c r="D1970" s="90" t="str">
        <f>VLOOKUP(Tabela1[[#This Row],[Origem]],'Perguntas 1 a 24'!$J$28:$K$34,2,FALSE)</f>
        <v>Sudeste</v>
      </c>
      <c r="E1970" s="90" t="s">
        <v>13308</v>
      </c>
      <c r="F1970" s="91">
        <v>46639</v>
      </c>
      <c r="G1970" s="92">
        <v>59067</v>
      </c>
      <c r="H1970" s="90" t="s">
        <v>9</v>
      </c>
      <c r="I19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70" s="90" t="s">
        <v>8465</v>
      </c>
    </row>
    <row r="1971" spans="1:11">
      <c r="A1971" s="90" t="s">
        <v>8464</v>
      </c>
      <c r="B1971" s="90" t="s">
        <v>8465</v>
      </c>
      <c r="C1971" s="90" t="s">
        <v>13</v>
      </c>
      <c r="D1971" s="90" t="str">
        <f>VLOOKUP(Tabela1[[#This Row],[Origem]],'Perguntas 1 a 24'!$J$28:$K$34,2,FALSE)</f>
        <v>Sudeste</v>
      </c>
      <c r="E1971" s="90" t="s">
        <v>13309</v>
      </c>
      <c r="F1971" s="91">
        <v>46640</v>
      </c>
      <c r="G1971" s="92">
        <v>93079</v>
      </c>
      <c r="H1971" s="90" t="s">
        <v>9</v>
      </c>
      <c r="I19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71" s="90" t="s">
        <v>4238</v>
      </c>
    </row>
    <row r="1972" spans="1:11">
      <c r="A1972" s="90" t="s">
        <v>4237</v>
      </c>
      <c r="B1972" s="90" t="s">
        <v>4238</v>
      </c>
      <c r="C1972" s="90" t="s">
        <v>6</v>
      </c>
      <c r="D1972" s="90" t="str">
        <f>VLOOKUP(Tabela1[[#This Row],[Origem]],'Perguntas 1 a 24'!$J$28:$K$34,2,FALSE)</f>
        <v>Nordeste</v>
      </c>
      <c r="E1972" s="90" t="s">
        <v>13310</v>
      </c>
      <c r="F1972" s="91">
        <v>46642</v>
      </c>
      <c r="G1972" s="92">
        <v>32143</v>
      </c>
      <c r="H1972" s="90" t="s">
        <v>14</v>
      </c>
      <c r="I19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72" s="90" t="s">
        <v>4378</v>
      </c>
    </row>
    <row r="1973" spans="1:11">
      <c r="A1973" s="90" t="s">
        <v>4377</v>
      </c>
      <c r="B1973" s="90" t="s">
        <v>4378</v>
      </c>
      <c r="C1973" s="90" t="s">
        <v>8</v>
      </c>
      <c r="D1973" s="90" t="str">
        <f>VLOOKUP(Tabela1[[#This Row],[Origem]],'Perguntas 1 a 24'!$J$28:$K$34,2,FALSE)</f>
        <v>Nordeste</v>
      </c>
      <c r="E1973" s="90" t="s">
        <v>13311</v>
      </c>
      <c r="F1973" s="91">
        <v>46642</v>
      </c>
      <c r="G1973" s="92">
        <v>98207</v>
      </c>
      <c r="H1973" s="90" t="s">
        <v>9</v>
      </c>
      <c r="I19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73" s="90" t="s">
        <v>9182</v>
      </c>
    </row>
    <row r="1974" spans="1:11">
      <c r="A1974" s="90" t="s">
        <v>9181</v>
      </c>
      <c r="B1974" s="90" t="s">
        <v>9182</v>
      </c>
      <c r="C1974" s="90" t="s">
        <v>6</v>
      </c>
      <c r="D1974" s="90" t="str">
        <f>VLOOKUP(Tabela1[[#This Row],[Origem]],'Perguntas 1 a 24'!$J$28:$K$34,2,FALSE)</f>
        <v>Nordeste</v>
      </c>
      <c r="E1974" s="90" t="s">
        <v>13312</v>
      </c>
      <c r="F1974" s="91">
        <v>46643</v>
      </c>
      <c r="G1974" s="92">
        <v>99841</v>
      </c>
      <c r="H1974" s="90" t="s">
        <v>9</v>
      </c>
      <c r="I19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74" s="90" t="s">
        <v>8133</v>
      </c>
    </row>
    <row r="1975" spans="1:11">
      <c r="A1975" s="90" t="s">
        <v>8132</v>
      </c>
      <c r="B1975" s="90" t="s">
        <v>8133</v>
      </c>
      <c r="C1975" s="90" t="s">
        <v>16</v>
      </c>
      <c r="D1975" s="90" t="str">
        <f>VLOOKUP(Tabela1[[#This Row],[Origem]],'Perguntas 1 a 24'!$J$28:$K$34,2,FALSE)</f>
        <v>Sudeste</v>
      </c>
      <c r="E1975" s="90" t="s">
        <v>13313</v>
      </c>
      <c r="F1975" s="91">
        <v>46644</v>
      </c>
      <c r="G1975" s="92">
        <v>115588</v>
      </c>
      <c r="H1975" s="90" t="s">
        <v>7</v>
      </c>
      <c r="I19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75" s="90" t="s">
        <v>5355</v>
      </c>
    </row>
    <row r="1976" spans="1:11">
      <c r="A1976" s="90" t="s">
        <v>5354</v>
      </c>
      <c r="B1976" s="90" t="s">
        <v>5355</v>
      </c>
      <c r="C1976" s="90" t="s">
        <v>12</v>
      </c>
      <c r="D1976" s="90" t="str">
        <f>VLOOKUP(Tabela1[[#This Row],[Origem]],'Perguntas 1 a 24'!$J$28:$K$34,2,FALSE)</f>
        <v>Sudeste</v>
      </c>
      <c r="E1976" s="90" t="s">
        <v>13314</v>
      </c>
      <c r="F1976" s="91">
        <v>46645</v>
      </c>
      <c r="G1976" s="92">
        <v>64545</v>
      </c>
      <c r="H1976" s="90" t="s">
        <v>11</v>
      </c>
      <c r="I19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76" s="90" t="s">
        <v>8728</v>
      </c>
    </row>
    <row r="1977" spans="1:11">
      <c r="A1977" s="90" t="s">
        <v>8727</v>
      </c>
      <c r="B1977" s="90" t="s">
        <v>8728</v>
      </c>
      <c r="C1977" s="90" t="s">
        <v>10</v>
      </c>
      <c r="D1977" s="90" t="str">
        <f>VLOOKUP(Tabela1[[#This Row],[Origem]],'Perguntas 1 a 24'!$J$28:$K$34,2,FALSE)</f>
        <v>Centro-Oeste</v>
      </c>
      <c r="E1977" s="90" t="s">
        <v>13315</v>
      </c>
      <c r="F1977" s="91">
        <v>46645</v>
      </c>
      <c r="G1977" s="92">
        <v>20276</v>
      </c>
      <c r="H1977" s="90" t="s">
        <v>7</v>
      </c>
      <c r="I19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77" s="90" t="s">
        <v>9308</v>
      </c>
    </row>
    <row r="1978" spans="1:11">
      <c r="A1978" s="90" t="s">
        <v>9307</v>
      </c>
      <c r="B1978" s="90" t="s">
        <v>9308</v>
      </c>
      <c r="C1978" s="90" t="s">
        <v>10</v>
      </c>
      <c r="D1978" s="90" t="str">
        <f>VLOOKUP(Tabela1[[#This Row],[Origem]],'Perguntas 1 a 24'!$J$28:$K$34,2,FALSE)</f>
        <v>Centro-Oeste</v>
      </c>
      <c r="E1978" s="90" t="s">
        <v>13316</v>
      </c>
      <c r="F1978" s="91">
        <v>46645</v>
      </c>
      <c r="G1978" s="92">
        <v>104064</v>
      </c>
      <c r="H1978" s="90" t="s">
        <v>7</v>
      </c>
      <c r="I19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78" s="90" t="s">
        <v>9884</v>
      </c>
    </row>
    <row r="1979" spans="1:11">
      <c r="A1979" s="90" t="s">
        <v>9883</v>
      </c>
      <c r="B1979" s="90" t="s">
        <v>9884</v>
      </c>
      <c r="C1979" s="90" t="s">
        <v>10</v>
      </c>
      <c r="D1979" s="90" t="str">
        <f>VLOOKUP(Tabela1[[#This Row],[Origem]],'Perguntas 1 a 24'!$J$28:$K$34,2,FALSE)</f>
        <v>Centro-Oeste</v>
      </c>
      <c r="E1979" s="90" t="s">
        <v>13317</v>
      </c>
      <c r="F1979" s="91">
        <v>46645</v>
      </c>
      <c r="G1979" s="92">
        <v>35626</v>
      </c>
      <c r="H1979" s="90" t="s">
        <v>11</v>
      </c>
      <c r="I19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79" s="90" t="s">
        <v>6285</v>
      </c>
    </row>
    <row r="1980" spans="1:11">
      <c r="A1980" s="90" t="s">
        <v>6284</v>
      </c>
      <c r="B1980" s="90" t="s">
        <v>6285</v>
      </c>
      <c r="C1980" s="90" t="s">
        <v>12</v>
      </c>
      <c r="D1980" s="90" t="str">
        <f>VLOOKUP(Tabela1[[#This Row],[Origem]],'Perguntas 1 a 24'!$J$28:$K$34,2,FALSE)</f>
        <v>Sudeste</v>
      </c>
      <c r="E1980" s="90" t="s">
        <v>13318</v>
      </c>
      <c r="F1980" s="91">
        <v>46646</v>
      </c>
      <c r="G1980" s="92">
        <v>89482</v>
      </c>
      <c r="H1980" s="90" t="s">
        <v>7</v>
      </c>
      <c r="I19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80" s="90" t="s">
        <v>6301</v>
      </c>
    </row>
    <row r="1981" spans="1:11">
      <c r="A1981" s="90" t="s">
        <v>6300</v>
      </c>
      <c r="B1981" s="90" t="s">
        <v>6301</v>
      </c>
      <c r="C1981" s="90" t="s">
        <v>13</v>
      </c>
      <c r="D1981" s="90" t="str">
        <f>VLOOKUP(Tabela1[[#This Row],[Origem]],'Perguntas 1 a 24'!$J$28:$K$34,2,FALSE)</f>
        <v>Sudeste</v>
      </c>
      <c r="E1981" s="90" t="s">
        <v>13319</v>
      </c>
      <c r="F1981" s="91">
        <v>46647</v>
      </c>
      <c r="G1981" s="92">
        <v>52994</v>
      </c>
      <c r="H1981" s="90" t="s">
        <v>11</v>
      </c>
      <c r="I19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81" s="90" t="s">
        <v>7395</v>
      </c>
    </row>
    <row r="1982" spans="1:11">
      <c r="A1982" s="90" t="s">
        <v>7394</v>
      </c>
      <c r="B1982" s="90" t="s">
        <v>7395</v>
      </c>
      <c r="C1982" s="90" t="s">
        <v>10</v>
      </c>
      <c r="D1982" s="90" t="str">
        <f>VLOOKUP(Tabela1[[#This Row],[Origem]],'Perguntas 1 a 24'!$J$28:$K$34,2,FALSE)</f>
        <v>Centro-Oeste</v>
      </c>
      <c r="E1982" s="90" t="s">
        <v>13320</v>
      </c>
      <c r="F1982" s="91">
        <v>46647</v>
      </c>
      <c r="G1982" s="92">
        <v>111887</v>
      </c>
      <c r="H1982" s="90" t="s">
        <v>9</v>
      </c>
      <c r="I19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82" s="90" t="s">
        <v>5165</v>
      </c>
    </row>
    <row r="1983" spans="1:11">
      <c r="A1983" s="90" t="s">
        <v>5164</v>
      </c>
      <c r="B1983" s="90" t="s">
        <v>5165</v>
      </c>
      <c r="C1983" s="90" t="s">
        <v>8</v>
      </c>
      <c r="D1983" s="90" t="str">
        <f>VLOOKUP(Tabela1[[#This Row],[Origem]],'Perguntas 1 a 24'!$J$28:$K$34,2,FALSE)</f>
        <v>Nordeste</v>
      </c>
      <c r="E1983" s="90" t="s">
        <v>13321</v>
      </c>
      <c r="F1983" s="91">
        <v>46648</v>
      </c>
      <c r="G1983" s="92">
        <v>65213</v>
      </c>
      <c r="H1983" s="90" t="s">
        <v>11</v>
      </c>
      <c r="I19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83" s="90" t="s">
        <v>10830</v>
      </c>
    </row>
    <row r="1984" spans="1:11">
      <c r="A1984" s="90" t="s">
        <v>10829</v>
      </c>
      <c r="B1984" s="90" t="s">
        <v>10830</v>
      </c>
      <c r="C1984" s="90" t="s">
        <v>16</v>
      </c>
      <c r="D1984" s="90" t="str">
        <f>VLOOKUP(Tabela1[[#This Row],[Origem]],'Perguntas 1 a 24'!$J$28:$K$34,2,FALSE)</f>
        <v>Sudeste</v>
      </c>
      <c r="E1984" s="90" t="s">
        <v>13322</v>
      </c>
      <c r="F1984" s="91">
        <v>46648</v>
      </c>
      <c r="G1984" s="92">
        <v>29174</v>
      </c>
      <c r="H1984" s="90" t="s">
        <v>14</v>
      </c>
      <c r="I19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84" s="90" t="s">
        <v>5129</v>
      </c>
    </row>
    <row r="1985" spans="1:11">
      <c r="A1985" s="90" t="s">
        <v>5128</v>
      </c>
      <c r="B1985" s="90" t="s">
        <v>5129</v>
      </c>
      <c r="C1985" s="90" t="s">
        <v>6</v>
      </c>
      <c r="D1985" s="90" t="str">
        <f>VLOOKUP(Tabela1[[#This Row],[Origem]],'Perguntas 1 a 24'!$J$28:$K$34,2,FALSE)</f>
        <v>Nordeste</v>
      </c>
      <c r="E1985" s="90" t="s">
        <v>13323</v>
      </c>
      <c r="F1985" s="91">
        <v>46649</v>
      </c>
      <c r="G1985" s="92">
        <v>105513</v>
      </c>
      <c r="H1985" s="90" t="s">
        <v>9</v>
      </c>
      <c r="I19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85" s="90" t="s">
        <v>8678</v>
      </c>
    </row>
    <row r="1986" spans="1:11">
      <c r="A1986" s="90" t="s">
        <v>8677</v>
      </c>
      <c r="B1986" s="90" t="s">
        <v>8678</v>
      </c>
      <c r="C1986" s="90" t="s">
        <v>15</v>
      </c>
      <c r="D1986" s="90" t="str">
        <f>VLOOKUP(Tabela1[[#This Row],[Origem]],'Perguntas 1 a 24'!$J$28:$K$34,2,FALSE)</f>
        <v>Sudeste</v>
      </c>
      <c r="E1986" s="90" t="s">
        <v>13324</v>
      </c>
      <c r="F1986" s="91">
        <v>46649</v>
      </c>
      <c r="G1986" s="92">
        <v>68774</v>
      </c>
      <c r="H1986" s="90" t="s">
        <v>7</v>
      </c>
      <c r="I19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86" s="90" t="s">
        <v>21</v>
      </c>
    </row>
    <row r="1987" spans="1:11">
      <c r="A1987" s="90" t="s">
        <v>11104</v>
      </c>
      <c r="B1987" s="90" t="s">
        <v>21</v>
      </c>
      <c r="C1987" s="90" t="s">
        <v>12</v>
      </c>
      <c r="D1987" s="90" t="str">
        <f>VLOOKUP(Tabela1[[#This Row],[Origem]],'Perguntas 1 a 24'!$J$28:$K$34,2,FALSE)</f>
        <v>Sudeste</v>
      </c>
      <c r="E1987" s="90" t="s">
        <v>13325</v>
      </c>
      <c r="F1987" s="91">
        <v>46650</v>
      </c>
      <c r="G1987" s="92">
        <v>42869</v>
      </c>
      <c r="H1987" s="90" t="s">
        <v>7</v>
      </c>
      <c r="I19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87" s="90" t="s">
        <v>8291</v>
      </c>
    </row>
    <row r="1988" spans="1:11">
      <c r="A1988" s="90" t="s">
        <v>8290</v>
      </c>
      <c r="B1988" s="90" t="s">
        <v>8291</v>
      </c>
      <c r="C1988" s="90" t="s">
        <v>6</v>
      </c>
      <c r="D1988" s="90" t="str">
        <f>VLOOKUP(Tabela1[[#This Row],[Origem]],'Perguntas 1 a 24'!$J$28:$K$34,2,FALSE)</f>
        <v>Nordeste</v>
      </c>
      <c r="E1988" s="90" t="s">
        <v>13326</v>
      </c>
      <c r="F1988" s="91">
        <v>46651</v>
      </c>
      <c r="G1988" s="92">
        <v>31956</v>
      </c>
      <c r="H1988" s="90" t="s">
        <v>14</v>
      </c>
      <c r="I19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88" s="90" t="s">
        <v>7539</v>
      </c>
    </row>
    <row r="1989" spans="1:11">
      <c r="A1989" s="90" t="s">
        <v>7538</v>
      </c>
      <c r="B1989" s="90" t="s">
        <v>7539</v>
      </c>
      <c r="C1989" s="90" t="s">
        <v>16</v>
      </c>
      <c r="D1989" s="90" t="str">
        <f>VLOOKUP(Tabela1[[#This Row],[Origem]],'Perguntas 1 a 24'!$J$28:$K$34,2,FALSE)</f>
        <v>Sudeste</v>
      </c>
      <c r="E1989" s="90" t="s">
        <v>13327</v>
      </c>
      <c r="F1989" s="91">
        <v>46653</v>
      </c>
      <c r="G1989" s="92">
        <v>48421</v>
      </c>
      <c r="H1989" s="90" t="s">
        <v>9</v>
      </c>
      <c r="I19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89" s="90" t="s">
        <v>9004</v>
      </c>
    </row>
    <row r="1990" spans="1:11">
      <c r="A1990" s="90" t="s">
        <v>9003</v>
      </c>
      <c r="B1990" s="90" t="s">
        <v>9004</v>
      </c>
      <c r="C1990" s="90" t="s">
        <v>8</v>
      </c>
      <c r="D1990" s="90" t="str">
        <f>VLOOKUP(Tabela1[[#This Row],[Origem]],'Perguntas 1 a 24'!$J$28:$K$34,2,FALSE)</f>
        <v>Nordeste</v>
      </c>
      <c r="E1990" s="90" t="s">
        <v>13328</v>
      </c>
      <c r="F1990" s="91">
        <v>46653</v>
      </c>
      <c r="G1990" s="92">
        <v>113200</v>
      </c>
      <c r="H1990" s="90" t="s">
        <v>11</v>
      </c>
      <c r="I19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90" s="90" t="s">
        <v>7175</v>
      </c>
    </row>
    <row r="1991" spans="1:11">
      <c r="A1991" s="90" t="s">
        <v>7174</v>
      </c>
      <c r="B1991" s="90" t="s">
        <v>7175</v>
      </c>
      <c r="C1991" s="90" t="s">
        <v>6</v>
      </c>
      <c r="D1991" s="90" t="str">
        <f>VLOOKUP(Tabela1[[#This Row],[Origem]],'Perguntas 1 a 24'!$J$28:$K$34,2,FALSE)</f>
        <v>Nordeste</v>
      </c>
      <c r="E1991" s="90" t="s">
        <v>13329</v>
      </c>
      <c r="F1991" s="91">
        <v>46654</v>
      </c>
      <c r="G1991" s="92">
        <v>80012</v>
      </c>
      <c r="H1991" s="90" t="s">
        <v>7</v>
      </c>
      <c r="I19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91" s="90" t="s">
        <v>10878</v>
      </c>
    </row>
    <row r="1992" spans="1:11">
      <c r="A1992" s="90" t="s">
        <v>10877</v>
      </c>
      <c r="B1992" s="90" t="s">
        <v>10878</v>
      </c>
      <c r="C1992" s="90" t="s">
        <v>12</v>
      </c>
      <c r="D1992" s="90" t="str">
        <f>VLOOKUP(Tabela1[[#This Row],[Origem]],'Perguntas 1 a 24'!$J$28:$K$34,2,FALSE)</f>
        <v>Sudeste</v>
      </c>
      <c r="E1992" s="90" t="s">
        <v>13330</v>
      </c>
      <c r="F1992" s="91">
        <v>46655</v>
      </c>
      <c r="G1992" s="92">
        <v>60877</v>
      </c>
      <c r="H1992" s="90" t="s">
        <v>11</v>
      </c>
      <c r="I19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92" s="90" t="s">
        <v>7569</v>
      </c>
    </row>
    <row r="1993" spans="1:11">
      <c r="A1993" s="90" t="s">
        <v>7568</v>
      </c>
      <c r="B1993" s="90" t="s">
        <v>7569</v>
      </c>
      <c r="C1993" s="90" t="s">
        <v>16</v>
      </c>
      <c r="D1993" s="90" t="str">
        <f>VLOOKUP(Tabela1[[#This Row],[Origem]],'Perguntas 1 a 24'!$J$28:$K$34,2,FALSE)</f>
        <v>Sudeste</v>
      </c>
      <c r="E1993" s="90" t="s">
        <v>13331</v>
      </c>
      <c r="F1993" s="91">
        <v>46656</v>
      </c>
      <c r="G1993" s="92">
        <v>28221</v>
      </c>
      <c r="H1993" s="90" t="s">
        <v>9</v>
      </c>
      <c r="I19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93" s="90" t="s">
        <v>10768</v>
      </c>
    </row>
    <row r="1994" spans="1:11">
      <c r="A1994" s="90" t="s">
        <v>10767</v>
      </c>
      <c r="B1994" s="90" t="s">
        <v>10768</v>
      </c>
      <c r="C1994" s="90" t="s">
        <v>6</v>
      </c>
      <c r="D1994" s="90" t="str">
        <f>VLOOKUP(Tabela1[[#This Row],[Origem]],'Perguntas 1 a 24'!$J$28:$K$34,2,FALSE)</f>
        <v>Nordeste</v>
      </c>
      <c r="E1994" s="90" t="s">
        <v>13332</v>
      </c>
      <c r="F1994" s="91">
        <v>46656</v>
      </c>
      <c r="G1994" s="92">
        <v>105334</v>
      </c>
      <c r="H1994" s="90" t="s">
        <v>11</v>
      </c>
      <c r="I19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94" s="90" t="s">
        <v>6103</v>
      </c>
    </row>
    <row r="1995" spans="1:11">
      <c r="A1995" s="90" t="s">
        <v>6102</v>
      </c>
      <c r="B1995" s="90" t="s">
        <v>6103</v>
      </c>
      <c r="C1995" s="90" t="s">
        <v>13</v>
      </c>
      <c r="D1995" s="90" t="str">
        <f>VLOOKUP(Tabela1[[#This Row],[Origem]],'Perguntas 1 a 24'!$J$28:$K$34,2,FALSE)</f>
        <v>Sudeste</v>
      </c>
      <c r="E1995" s="90" t="s">
        <v>13333</v>
      </c>
      <c r="F1995" s="91">
        <v>46657</v>
      </c>
      <c r="G1995" s="92">
        <v>39714</v>
      </c>
      <c r="H1995" s="90" t="s">
        <v>11</v>
      </c>
      <c r="I19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95" s="90" t="s">
        <v>9696</v>
      </c>
    </row>
    <row r="1996" spans="1:11">
      <c r="A1996" s="90" t="s">
        <v>9695</v>
      </c>
      <c r="B1996" s="90" t="s">
        <v>9696</v>
      </c>
      <c r="C1996" s="90" t="s">
        <v>8</v>
      </c>
      <c r="D1996" s="90" t="str">
        <f>VLOOKUP(Tabela1[[#This Row],[Origem]],'Perguntas 1 a 24'!$J$28:$K$34,2,FALSE)</f>
        <v>Nordeste</v>
      </c>
      <c r="E1996" s="90" t="s">
        <v>13334</v>
      </c>
      <c r="F1996" s="91">
        <v>46657</v>
      </c>
      <c r="G1996" s="92">
        <v>75898</v>
      </c>
      <c r="H1996" s="90" t="s">
        <v>11</v>
      </c>
      <c r="I19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96" s="90" t="s">
        <v>7839</v>
      </c>
    </row>
    <row r="1997" spans="1:11">
      <c r="A1997" s="90" t="s">
        <v>7838</v>
      </c>
      <c r="B1997" s="90" t="s">
        <v>7839</v>
      </c>
      <c r="C1997" s="90" t="s">
        <v>10</v>
      </c>
      <c r="D1997" s="90" t="str">
        <f>VLOOKUP(Tabela1[[#This Row],[Origem]],'Perguntas 1 a 24'!$J$28:$K$34,2,FALSE)</f>
        <v>Centro-Oeste</v>
      </c>
      <c r="E1997" s="90" t="s">
        <v>13335</v>
      </c>
      <c r="F1997" s="91">
        <v>46659</v>
      </c>
      <c r="G1997" s="92">
        <v>92606</v>
      </c>
      <c r="H1997" s="90" t="s">
        <v>14</v>
      </c>
      <c r="I19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97" s="90" t="s">
        <v>10336</v>
      </c>
    </row>
    <row r="1998" spans="1:11">
      <c r="A1998" s="90" t="s">
        <v>10335</v>
      </c>
      <c r="B1998" s="90" t="s">
        <v>10336</v>
      </c>
      <c r="C1998" s="90" t="s">
        <v>15</v>
      </c>
      <c r="D1998" s="90" t="str">
        <f>VLOOKUP(Tabela1[[#This Row],[Origem]],'Perguntas 1 a 24'!$J$28:$K$34,2,FALSE)</f>
        <v>Sudeste</v>
      </c>
      <c r="E1998" s="90" t="s">
        <v>13336</v>
      </c>
      <c r="F1998" s="91">
        <v>46659</v>
      </c>
      <c r="G1998" s="92">
        <v>41311</v>
      </c>
      <c r="H1998" s="90" t="s">
        <v>9</v>
      </c>
      <c r="I19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1998" s="90" t="s">
        <v>10874</v>
      </c>
    </row>
    <row r="1999" spans="1:11">
      <c r="A1999" s="90" t="s">
        <v>10873</v>
      </c>
      <c r="B1999" s="90" t="s">
        <v>10874</v>
      </c>
      <c r="C1999" s="90" t="s">
        <v>13</v>
      </c>
      <c r="D1999" s="90" t="str">
        <f>VLOOKUP(Tabela1[[#This Row],[Origem]],'Perguntas 1 a 24'!$J$28:$K$34,2,FALSE)</f>
        <v>Sudeste</v>
      </c>
      <c r="E1999" s="90" t="s">
        <v>13337</v>
      </c>
      <c r="F1999" s="91">
        <v>46659</v>
      </c>
      <c r="G1999" s="92">
        <v>64657</v>
      </c>
      <c r="H1999" s="90" t="s">
        <v>11</v>
      </c>
      <c r="I19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1999" s="90" t="s">
        <v>4416</v>
      </c>
    </row>
    <row r="2000" spans="1:11">
      <c r="A2000" s="90" t="s">
        <v>4415</v>
      </c>
      <c r="B2000" s="90" t="s">
        <v>4416</v>
      </c>
      <c r="C2000" s="90" t="s">
        <v>16</v>
      </c>
      <c r="D2000" s="90" t="str">
        <f>VLOOKUP(Tabela1[[#This Row],[Origem]],'Perguntas 1 a 24'!$J$28:$K$34,2,FALSE)</f>
        <v>Sudeste</v>
      </c>
      <c r="E2000" s="90" t="s">
        <v>13338</v>
      </c>
      <c r="F2000" s="91">
        <v>46660</v>
      </c>
      <c r="G2000" s="92">
        <v>89463</v>
      </c>
      <c r="H2000" s="90" t="s">
        <v>7</v>
      </c>
      <c r="I20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00" s="90" t="s">
        <v>9532</v>
      </c>
    </row>
    <row r="2001" spans="1:11">
      <c r="A2001" s="90" t="s">
        <v>9531</v>
      </c>
      <c r="B2001" s="90" t="s">
        <v>9532</v>
      </c>
      <c r="C2001" s="90" t="s">
        <v>16</v>
      </c>
      <c r="D2001" s="90" t="str">
        <f>VLOOKUP(Tabela1[[#This Row],[Origem]],'Perguntas 1 a 24'!$J$28:$K$34,2,FALSE)</f>
        <v>Sudeste</v>
      </c>
      <c r="E2001" s="90" t="s">
        <v>13339</v>
      </c>
      <c r="F2001" s="91">
        <v>46661</v>
      </c>
      <c r="G2001" s="92">
        <v>34850</v>
      </c>
      <c r="H2001" s="90" t="s">
        <v>9</v>
      </c>
      <c r="I20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01" s="90" t="s">
        <v>7289</v>
      </c>
    </row>
    <row r="2002" spans="1:11">
      <c r="A2002" s="90" t="s">
        <v>7288</v>
      </c>
      <c r="B2002" s="90" t="s">
        <v>7289</v>
      </c>
      <c r="C2002" s="90" t="s">
        <v>6</v>
      </c>
      <c r="D2002" s="90" t="str">
        <f>VLOOKUP(Tabela1[[#This Row],[Origem]],'Perguntas 1 a 24'!$J$28:$K$34,2,FALSE)</f>
        <v>Nordeste</v>
      </c>
      <c r="E2002" s="90" t="s">
        <v>13340</v>
      </c>
      <c r="F2002" s="91">
        <v>46664</v>
      </c>
      <c r="G2002" s="92">
        <v>28044</v>
      </c>
      <c r="H2002" s="90" t="s">
        <v>7</v>
      </c>
      <c r="I20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02" s="90" t="s">
        <v>4406</v>
      </c>
    </row>
    <row r="2003" spans="1:11">
      <c r="A2003" s="90" t="s">
        <v>4405</v>
      </c>
      <c r="B2003" s="90" t="s">
        <v>4406</v>
      </c>
      <c r="C2003" s="90" t="s">
        <v>8</v>
      </c>
      <c r="D2003" s="90" t="str">
        <f>VLOOKUP(Tabela1[[#This Row],[Origem]],'Perguntas 1 a 24'!$J$28:$K$34,2,FALSE)</f>
        <v>Nordeste</v>
      </c>
      <c r="E2003" s="90" t="s">
        <v>13341</v>
      </c>
      <c r="F2003" s="91">
        <v>46665</v>
      </c>
      <c r="G2003" s="92">
        <v>27643</v>
      </c>
      <c r="H2003" s="90" t="s">
        <v>9</v>
      </c>
      <c r="I20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03" s="90" t="s">
        <v>5915</v>
      </c>
    </row>
    <row r="2004" spans="1:11">
      <c r="A2004" s="90" t="s">
        <v>5914</v>
      </c>
      <c r="B2004" s="90" t="s">
        <v>5915</v>
      </c>
      <c r="C2004" s="90" t="s">
        <v>10</v>
      </c>
      <c r="D2004" s="90" t="str">
        <f>VLOOKUP(Tabela1[[#This Row],[Origem]],'Perguntas 1 a 24'!$J$28:$K$34,2,FALSE)</f>
        <v>Centro-Oeste</v>
      </c>
      <c r="E2004" s="90" t="s">
        <v>13342</v>
      </c>
      <c r="F2004" s="91">
        <v>46665</v>
      </c>
      <c r="G2004" s="92">
        <v>68495</v>
      </c>
      <c r="H2004" s="90" t="s">
        <v>7</v>
      </c>
      <c r="I20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04" s="90" t="s">
        <v>7179</v>
      </c>
    </row>
    <row r="2005" spans="1:11">
      <c r="A2005" s="90" t="s">
        <v>7178</v>
      </c>
      <c r="B2005" s="90" t="s">
        <v>7179</v>
      </c>
      <c r="C2005" s="90" t="s">
        <v>15</v>
      </c>
      <c r="D2005" s="90" t="str">
        <f>VLOOKUP(Tabela1[[#This Row],[Origem]],'Perguntas 1 a 24'!$J$28:$K$34,2,FALSE)</f>
        <v>Sudeste</v>
      </c>
      <c r="E2005" s="90" t="s">
        <v>13343</v>
      </c>
      <c r="F2005" s="91">
        <v>46666</v>
      </c>
      <c r="G2005" s="92">
        <v>23344</v>
      </c>
      <c r="H2005" s="90" t="s">
        <v>9</v>
      </c>
      <c r="I20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05" s="90" t="s">
        <v>7535</v>
      </c>
    </row>
    <row r="2006" spans="1:11">
      <c r="A2006" s="90" t="s">
        <v>7534</v>
      </c>
      <c r="B2006" s="90" t="s">
        <v>7535</v>
      </c>
      <c r="C2006" s="90" t="s">
        <v>12</v>
      </c>
      <c r="D2006" s="90" t="str">
        <f>VLOOKUP(Tabela1[[#This Row],[Origem]],'Perguntas 1 a 24'!$J$28:$K$34,2,FALSE)</f>
        <v>Sudeste</v>
      </c>
      <c r="E2006" s="90" t="s">
        <v>13344</v>
      </c>
      <c r="F2006" s="91">
        <v>46666</v>
      </c>
      <c r="G2006" s="92">
        <v>54302</v>
      </c>
      <c r="H2006" s="90" t="s">
        <v>9</v>
      </c>
      <c r="I20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06" s="90" t="s">
        <v>6417</v>
      </c>
    </row>
    <row r="2007" spans="1:11">
      <c r="A2007" s="90" t="s">
        <v>6416</v>
      </c>
      <c r="B2007" s="90" t="s">
        <v>6417</v>
      </c>
      <c r="C2007" s="90" t="s">
        <v>6</v>
      </c>
      <c r="D2007" s="90" t="str">
        <f>VLOOKUP(Tabela1[[#This Row],[Origem]],'Perguntas 1 a 24'!$J$28:$K$34,2,FALSE)</f>
        <v>Nordeste</v>
      </c>
      <c r="E2007" s="90" t="s">
        <v>13345</v>
      </c>
      <c r="F2007" s="91">
        <v>46667</v>
      </c>
      <c r="G2007" s="92">
        <v>102541</v>
      </c>
      <c r="H2007" s="90" t="s">
        <v>7</v>
      </c>
      <c r="I20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07" s="90" t="s">
        <v>5107</v>
      </c>
    </row>
    <row r="2008" spans="1:11">
      <c r="A2008" s="90" t="s">
        <v>5106</v>
      </c>
      <c r="B2008" s="90" t="s">
        <v>5107</v>
      </c>
      <c r="C2008" s="90" t="s">
        <v>8</v>
      </c>
      <c r="D2008" s="90" t="str">
        <f>VLOOKUP(Tabela1[[#This Row],[Origem]],'Perguntas 1 a 24'!$J$28:$K$34,2,FALSE)</f>
        <v>Nordeste</v>
      </c>
      <c r="E2008" s="90" t="s">
        <v>13346</v>
      </c>
      <c r="F2008" s="91">
        <v>46668</v>
      </c>
      <c r="G2008" s="92">
        <v>65274</v>
      </c>
      <c r="H2008" s="90" t="s">
        <v>7</v>
      </c>
      <c r="I20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08" s="90" t="s">
        <v>8333</v>
      </c>
    </row>
    <row r="2009" spans="1:11">
      <c r="A2009" s="90" t="s">
        <v>8332</v>
      </c>
      <c r="B2009" s="90" t="s">
        <v>8333</v>
      </c>
      <c r="C2009" s="90" t="s">
        <v>16</v>
      </c>
      <c r="D2009" s="90" t="str">
        <f>VLOOKUP(Tabela1[[#This Row],[Origem]],'Perguntas 1 a 24'!$J$28:$K$34,2,FALSE)</f>
        <v>Sudeste</v>
      </c>
      <c r="E2009" s="90" t="s">
        <v>13347</v>
      </c>
      <c r="F2009" s="91">
        <v>46669</v>
      </c>
      <c r="G2009" s="92">
        <v>36957</v>
      </c>
      <c r="H2009" s="90" t="s">
        <v>9</v>
      </c>
      <c r="I20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09" s="90" t="s">
        <v>9608</v>
      </c>
    </row>
    <row r="2010" spans="1:11">
      <c r="A2010" s="90" t="s">
        <v>9607</v>
      </c>
      <c r="B2010" s="90" t="s">
        <v>9608</v>
      </c>
      <c r="C2010" s="90" t="s">
        <v>10</v>
      </c>
      <c r="D2010" s="90" t="str">
        <f>VLOOKUP(Tabela1[[#This Row],[Origem]],'Perguntas 1 a 24'!$J$28:$K$34,2,FALSE)</f>
        <v>Centro-Oeste</v>
      </c>
      <c r="E2010" s="90" t="s">
        <v>13348</v>
      </c>
      <c r="F2010" s="91">
        <v>46671</v>
      </c>
      <c r="G2010" s="92">
        <v>47614</v>
      </c>
      <c r="H2010" s="90" t="s">
        <v>14</v>
      </c>
      <c r="I20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10" s="90" t="s">
        <v>4637</v>
      </c>
    </row>
    <row r="2011" spans="1:11">
      <c r="A2011" s="90" t="s">
        <v>4636</v>
      </c>
      <c r="B2011" s="90" t="s">
        <v>4637</v>
      </c>
      <c r="C2011" s="90" t="s">
        <v>10</v>
      </c>
      <c r="D2011" s="90" t="str">
        <f>VLOOKUP(Tabela1[[#This Row],[Origem]],'Perguntas 1 a 24'!$J$28:$K$34,2,FALSE)</f>
        <v>Centro-Oeste</v>
      </c>
      <c r="E2011" s="90" t="s">
        <v>13349</v>
      </c>
      <c r="F2011" s="91">
        <v>46672</v>
      </c>
      <c r="G2011" s="92">
        <v>35031</v>
      </c>
      <c r="H2011" s="90" t="s">
        <v>7</v>
      </c>
      <c r="I20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11" s="90" t="s">
        <v>5373</v>
      </c>
    </row>
    <row r="2012" spans="1:11">
      <c r="A2012" s="90" t="s">
        <v>5372</v>
      </c>
      <c r="B2012" s="90" t="s">
        <v>5373</v>
      </c>
      <c r="C2012" s="90" t="s">
        <v>13</v>
      </c>
      <c r="D2012" s="90" t="str">
        <f>VLOOKUP(Tabela1[[#This Row],[Origem]],'Perguntas 1 a 24'!$J$28:$K$34,2,FALSE)</f>
        <v>Sudeste</v>
      </c>
      <c r="E2012" s="90" t="s">
        <v>13350</v>
      </c>
      <c r="F2012" s="91">
        <v>46672</v>
      </c>
      <c r="G2012" s="92">
        <v>111664</v>
      </c>
      <c r="H2012" s="90" t="s">
        <v>14</v>
      </c>
      <c r="I20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12" s="90" t="s">
        <v>5539</v>
      </c>
    </row>
    <row r="2013" spans="1:11">
      <c r="A2013" s="90" t="s">
        <v>5538</v>
      </c>
      <c r="B2013" s="90" t="s">
        <v>5539</v>
      </c>
      <c r="C2013" s="90" t="s">
        <v>15</v>
      </c>
      <c r="D2013" s="90" t="str">
        <f>VLOOKUP(Tabela1[[#This Row],[Origem]],'Perguntas 1 a 24'!$J$28:$K$34,2,FALSE)</f>
        <v>Sudeste</v>
      </c>
      <c r="E2013" s="90" t="s">
        <v>13351</v>
      </c>
      <c r="F2013" s="91">
        <v>46673</v>
      </c>
      <c r="G2013" s="92">
        <v>53232</v>
      </c>
      <c r="H2013" s="90" t="s">
        <v>11</v>
      </c>
      <c r="I20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13" s="90" t="s">
        <v>8754</v>
      </c>
    </row>
    <row r="2014" spans="1:11">
      <c r="A2014" s="90" t="s">
        <v>8753</v>
      </c>
      <c r="B2014" s="90" t="s">
        <v>8754</v>
      </c>
      <c r="C2014" s="90" t="s">
        <v>16</v>
      </c>
      <c r="D2014" s="90" t="str">
        <f>VLOOKUP(Tabela1[[#This Row],[Origem]],'Perguntas 1 a 24'!$J$28:$K$34,2,FALSE)</f>
        <v>Sudeste</v>
      </c>
      <c r="E2014" s="90" t="s">
        <v>13352</v>
      </c>
      <c r="F2014" s="91">
        <v>46674</v>
      </c>
      <c r="G2014" s="92">
        <v>116289</v>
      </c>
      <c r="H2014" s="90" t="s">
        <v>14</v>
      </c>
      <c r="I20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14" s="90" t="s">
        <v>9674</v>
      </c>
    </row>
    <row r="2015" spans="1:11">
      <c r="A2015" s="90" t="s">
        <v>9673</v>
      </c>
      <c r="B2015" s="90" t="s">
        <v>9674</v>
      </c>
      <c r="C2015" s="90" t="s">
        <v>8</v>
      </c>
      <c r="D2015" s="90" t="str">
        <f>VLOOKUP(Tabela1[[#This Row],[Origem]],'Perguntas 1 a 24'!$J$28:$K$34,2,FALSE)</f>
        <v>Nordeste</v>
      </c>
      <c r="E2015" s="90" t="s">
        <v>13353</v>
      </c>
      <c r="F2015" s="91">
        <v>46674</v>
      </c>
      <c r="G2015" s="92">
        <v>55904</v>
      </c>
      <c r="H2015" s="90" t="s">
        <v>9</v>
      </c>
      <c r="I20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15" s="90" t="s">
        <v>11186</v>
      </c>
    </row>
    <row r="2016" spans="1:11">
      <c r="A2016" s="90" t="s">
        <v>11185</v>
      </c>
      <c r="B2016" s="90" t="s">
        <v>11186</v>
      </c>
      <c r="C2016" s="90" t="s">
        <v>10</v>
      </c>
      <c r="D2016" s="90" t="str">
        <f>VLOOKUP(Tabela1[[#This Row],[Origem]],'Perguntas 1 a 24'!$J$28:$K$34,2,FALSE)</f>
        <v>Centro-Oeste</v>
      </c>
      <c r="E2016" s="90" t="s">
        <v>13354</v>
      </c>
      <c r="F2016" s="91">
        <v>46676</v>
      </c>
      <c r="G2016" s="92">
        <v>92542</v>
      </c>
      <c r="H2016" s="90" t="s">
        <v>11</v>
      </c>
      <c r="I20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16" s="90" t="s">
        <v>5857</v>
      </c>
    </row>
    <row r="2017" spans="1:11">
      <c r="A2017" s="90" t="s">
        <v>5856</v>
      </c>
      <c r="B2017" s="90" t="s">
        <v>5857</v>
      </c>
      <c r="C2017" s="90" t="s">
        <v>10</v>
      </c>
      <c r="D2017" s="90" t="str">
        <f>VLOOKUP(Tabela1[[#This Row],[Origem]],'Perguntas 1 a 24'!$J$28:$K$34,2,FALSE)</f>
        <v>Centro-Oeste</v>
      </c>
      <c r="E2017" s="90" t="s">
        <v>13355</v>
      </c>
      <c r="F2017" s="91">
        <v>46677</v>
      </c>
      <c r="G2017" s="92">
        <v>88639</v>
      </c>
      <c r="H2017" s="90" t="s">
        <v>11</v>
      </c>
      <c r="I20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17" s="90" t="s">
        <v>9434</v>
      </c>
    </row>
    <row r="2018" spans="1:11">
      <c r="A2018" s="90" t="s">
        <v>9433</v>
      </c>
      <c r="B2018" s="90" t="s">
        <v>9434</v>
      </c>
      <c r="C2018" s="90" t="s">
        <v>16</v>
      </c>
      <c r="D2018" s="90" t="str">
        <f>VLOOKUP(Tabela1[[#This Row],[Origem]],'Perguntas 1 a 24'!$J$28:$K$34,2,FALSE)</f>
        <v>Sudeste</v>
      </c>
      <c r="E2018" s="90" t="s">
        <v>13356</v>
      </c>
      <c r="F2018" s="91">
        <v>46677</v>
      </c>
      <c r="G2018" s="92">
        <v>116046</v>
      </c>
      <c r="H2018" s="90" t="s">
        <v>9</v>
      </c>
      <c r="I20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18" s="90" t="s">
        <v>11180</v>
      </c>
    </row>
    <row r="2019" spans="1:11">
      <c r="A2019" s="90" t="s">
        <v>11179</v>
      </c>
      <c r="B2019" s="90" t="s">
        <v>11180</v>
      </c>
      <c r="C2019" s="90" t="s">
        <v>15</v>
      </c>
      <c r="D2019" s="90" t="str">
        <f>VLOOKUP(Tabela1[[#This Row],[Origem]],'Perguntas 1 a 24'!$J$28:$K$34,2,FALSE)</f>
        <v>Sudeste</v>
      </c>
      <c r="E2019" s="90" t="s">
        <v>13357</v>
      </c>
      <c r="F2019" s="91">
        <v>46677</v>
      </c>
      <c r="G2019" s="92">
        <v>81467</v>
      </c>
      <c r="H2019" s="90" t="s">
        <v>9</v>
      </c>
      <c r="I20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19" s="90" t="s">
        <v>10058</v>
      </c>
    </row>
    <row r="2020" spans="1:11">
      <c r="A2020" s="90" t="s">
        <v>10057</v>
      </c>
      <c r="B2020" s="90" t="s">
        <v>10058</v>
      </c>
      <c r="C2020" s="90" t="s">
        <v>12</v>
      </c>
      <c r="D2020" s="90" t="str">
        <f>VLOOKUP(Tabela1[[#This Row],[Origem]],'Perguntas 1 a 24'!$J$28:$K$34,2,FALSE)</f>
        <v>Sudeste</v>
      </c>
      <c r="E2020" s="90" t="s">
        <v>13358</v>
      </c>
      <c r="F2020" s="91">
        <v>46680</v>
      </c>
      <c r="G2020" s="92">
        <v>21868</v>
      </c>
      <c r="H2020" s="90" t="s">
        <v>11</v>
      </c>
      <c r="I20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20" s="90" t="s">
        <v>3705</v>
      </c>
    </row>
    <row r="2021" spans="1:11">
      <c r="A2021" s="90" t="s">
        <v>3704</v>
      </c>
      <c r="B2021" s="90" t="s">
        <v>3705</v>
      </c>
      <c r="C2021" s="90" t="s">
        <v>12</v>
      </c>
      <c r="D2021" s="90" t="str">
        <f>VLOOKUP(Tabela1[[#This Row],[Origem]],'Perguntas 1 a 24'!$J$28:$K$34,2,FALSE)</f>
        <v>Sudeste</v>
      </c>
      <c r="E2021" s="90" t="s">
        <v>13359</v>
      </c>
      <c r="F2021" s="91">
        <v>46681</v>
      </c>
      <c r="G2021" s="92">
        <v>29749</v>
      </c>
      <c r="H2021" s="90" t="s">
        <v>11</v>
      </c>
      <c r="I20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21" s="90" t="s">
        <v>4179</v>
      </c>
    </row>
    <row r="2022" spans="1:11">
      <c r="A2022" s="90" t="s">
        <v>4178</v>
      </c>
      <c r="B2022" s="90" t="s">
        <v>4179</v>
      </c>
      <c r="C2022" s="90" t="s">
        <v>8</v>
      </c>
      <c r="D2022" s="90" t="str">
        <f>VLOOKUP(Tabela1[[#This Row],[Origem]],'Perguntas 1 a 24'!$J$28:$K$34,2,FALSE)</f>
        <v>Nordeste</v>
      </c>
      <c r="E2022" s="90" t="s">
        <v>13360</v>
      </c>
      <c r="F2022" s="91">
        <v>46681</v>
      </c>
      <c r="G2022" s="92">
        <v>66512</v>
      </c>
      <c r="H2022" s="90" t="s">
        <v>7</v>
      </c>
      <c r="I20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22" s="90" t="s">
        <v>8379</v>
      </c>
    </row>
    <row r="2023" spans="1:11">
      <c r="A2023" s="90" t="s">
        <v>8378</v>
      </c>
      <c r="B2023" s="90" t="s">
        <v>8379</v>
      </c>
      <c r="C2023" s="90" t="s">
        <v>6</v>
      </c>
      <c r="D2023" s="90" t="str">
        <f>VLOOKUP(Tabela1[[#This Row],[Origem]],'Perguntas 1 a 24'!$J$28:$K$34,2,FALSE)</f>
        <v>Nordeste</v>
      </c>
      <c r="E2023" s="90" t="s">
        <v>13361</v>
      </c>
      <c r="F2023" s="91">
        <v>46684</v>
      </c>
      <c r="G2023" s="92">
        <v>70079</v>
      </c>
      <c r="H2023" s="90" t="s">
        <v>14</v>
      </c>
      <c r="I20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23" s="90" t="s">
        <v>9260</v>
      </c>
    </row>
    <row r="2024" spans="1:11">
      <c r="A2024" s="90" t="s">
        <v>9259</v>
      </c>
      <c r="B2024" s="90" t="s">
        <v>9260</v>
      </c>
      <c r="C2024" s="90" t="s">
        <v>8</v>
      </c>
      <c r="D2024" s="90" t="str">
        <f>VLOOKUP(Tabela1[[#This Row],[Origem]],'Perguntas 1 a 24'!$J$28:$K$34,2,FALSE)</f>
        <v>Nordeste</v>
      </c>
      <c r="E2024" s="90" t="s">
        <v>13362</v>
      </c>
      <c r="F2024" s="91">
        <v>46684</v>
      </c>
      <c r="G2024" s="92">
        <v>68735</v>
      </c>
      <c r="H2024" s="90" t="s">
        <v>7</v>
      </c>
      <c r="I20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24" s="90" t="s">
        <v>6659</v>
      </c>
    </row>
    <row r="2025" spans="1:11">
      <c r="A2025" s="90" t="s">
        <v>6658</v>
      </c>
      <c r="B2025" s="90" t="s">
        <v>6659</v>
      </c>
      <c r="C2025" s="90" t="s">
        <v>12</v>
      </c>
      <c r="D2025" s="90" t="str">
        <f>VLOOKUP(Tabela1[[#This Row],[Origem]],'Perguntas 1 a 24'!$J$28:$K$34,2,FALSE)</f>
        <v>Sudeste</v>
      </c>
      <c r="E2025" s="90" t="s">
        <v>13363</v>
      </c>
      <c r="F2025" s="91">
        <v>46685</v>
      </c>
      <c r="G2025" s="92">
        <v>52084</v>
      </c>
      <c r="H2025" s="90" t="s">
        <v>11</v>
      </c>
      <c r="I20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25" s="90" t="s">
        <v>10218</v>
      </c>
    </row>
    <row r="2026" spans="1:11">
      <c r="A2026" s="90" t="s">
        <v>10217</v>
      </c>
      <c r="B2026" s="90" t="s">
        <v>10218</v>
      </c>
      <c r="C2026" s="90" t="s">
        <v>10</v>
      </c>
      <c r="D2026" s="90" t="str">
        <f>VLOOKUP(Tabela1[[#This Row],[Origem]],'Perguntas 1 a 24'!$J$28:$K$34,2,FALSE)</f>
        <v>Centro-Oeste</v>
      </c>
      <c r="E2026" s="90" t="s">
        <v>13364</v>
      </c>
      <c r="F2026" s="91">
        <v>46685</v>
      </c>
      <c r="G2026" s="92">
        <v>52979</v>
      </c>
      <c r="H2026" s="90" t="s">
        <v>9</v>
      </c>
      <c r="I20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26" s="90" t="s">
        <v>6157</v>
      </c>
    </row>
    <row r="2027" spans="1:11">
      <c r="A2027" s="90" t="s">
        <v>6156</v>
      </c>
      <c r="B2027" s="90" t="s">
        <v>6157</v>
      </c>
      <c r="C2027" s="90" t="s">
        <v>6</v>
      </c>
      <c r="D2027" s="90" t="str">
        <f>VLOOKUP(Tabela1[[#This Row],[Origem]],'Perguntas 1 a 24'!$J$28:$K$34,2,FALSE)</f>
        <v>Nordeste</v>
      </c>
      <c r="E2027" s="90" t="s">
        <v>13365</v>
      </c>
      <c r="F2027" s="91">
        <v>46688</v>
      </c>
      <c r="G2027" s="92">
        <v>104861</v>
      </c>
      <c r="H2027" s="90" t="s">
        <v>11</v>
      </c>
      <c r="I20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27" s="90" t="s">
        <v>9298</v>
      </c>
    </row>
    <row r="2028" spans="1:11">
      <c r="A2028" s="90" t="s">
        <v>9297</v>
      </c>
      <c r="B2028" s="90" t="s">
        <v>9298</v>
      </c>
      <c r="C2028" s="90" t="s">
        <v>13</v>
      </c>
      <c r="D2028" s="90" t="str">
        <f>VLOOKUP(Tabela1[[#This Row],[Origem]],'Perguntas 1 a 24'!$J$28:$K$34,2,FALSE)</f>
        <v>Sudeste</v>
      </c>
      <c r="E2028" s="90" t="s">
        <v>13366</v>
      </c>
      <c r="F2028" s="91">
        <v>46689</v>
      </c>
      <c r="G2028" s="92">
        <v>100879</v>
      </c>
      <c r="H2028" s="90" t="s">
        <v>7</v>
      </c>
      <c r="I20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28" s="90" t="s">
        <v>6813</v>
      </c>
    </row>
    <row r="2029" spans="1:11">
      <c r="A2029" s="90" t="s">
        <v>6812</v>
      </c>
      <c r="B2029" s="90" t="s">
        <v>6813</v>
      </c>
      <c r="C2029" s="90" t="s">
        <v>16</v>
      </c>
      <c r="D2029" s="90" t="str">
        <f>VLOOKUP(Tabela1[[#This Row],[Origem]],'Perguntas 1 a 24'!$J$28:$K$34,2,FALSE)</f>
        <v>Sudeste</v>
      </c>
      <c r="E2029" s="90" t="s">
        <v>13367</v>
      </c>
      <c r="F2029" s="91">
        <v>46690</v>
      </c>
      <c r="G2029" s="92">
        <v>24844</v>
      </c>
      <c r="H2029" s="90" t="s">
        <v>14</v>
      </c>
      <c r="I20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29" s="90" t="s">
        <v>8818</v>
      </c>
    </row>
    <row r="2030" spans="1:11">
      <c r="A2030" s="90" t="s">
        <v>8817</v>
      </c>
      <c r="B2030" s="90" t="s">
        <v>8818</v>
      </c>
      <c r="C2030" s="90" t="s">
        <v>10</v>
      </c>
      <c r="D2030" s="90" t="str">
        <f>VLOOKUP(Tabela1[[#This Row],[Origem]],'Perguntas 1 a 24'!$J$28:$K$34,2,FALSE)</f>
        <v>Centro-Oeste</v>
      </c>
      <c r="E2030" s="90" t="s">
        <v>13368</v>
      </c>
      <c r="F2030" s="91">
        <v>46690</v>
      </c>
      <c r="G2030" s="92">
        <v>21042</v>
      </c>
      <c r="H2030" s="90" t="s">
        <v>9</v>
      </c>
      <c r="I20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30" s="90" t="s">
        <v>11095</v>
      </c>
    </row>
    <row r="2031" spans="1:11">
      <c r="A2031" s="90" t="s">
        <v>11094</v>
      </c>
      <c r="B2031" s="90" t="s">
        <v>11095</v>
      </c>
      <c r="C2031" s="90" t="s">
        <v>12</v>
      </c>
      <c r="D2031" s="90" t="str">
        <f>VLOOKUP(Tabela1[[#This Row],[Origem]],'Perguntas 1 a 24'!$J$28:$K$34,2,FALSE)</f>
        <v>Sudeste</v>
      </c>
      <c r="E2031" s="90" t="s">
        <v>13369</v>
      </c>
      <c r="F2031" s="91">
        <v>46690</v>
      </c>
      <c r="G2031" s="92">
        <v>22800</v>
      </c>
      <c r="H2031" s="90" t="s">
        <v>11</v>
      </c>
      <c r="I20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31" s="90" t="s">
        <v>5923</v>
      </c>
    </row>
    <row r="2032" spans="1:11">
      <c r="A2032" s="90" t="s">
        <v>5922</v>
      </c>
      <c r="B2032" s="90" t="s">
        <v>5923</v>
      </c>
      <c r="C2032" s="90" t="s">
        <v>15</v>
      </c>
      <c r="D2032" s="90" t="str">
        <f>VLOOKUP(Tabela1[[#This Row],[Origem]],'Perguntas 1 a 24'!$J$28:$K$34,2,FALSE)</f>
        <v>Sudeste</v>
      </c>
      <c r="E2032" s="90" t="s">
        <v>13370</v>
      </c>
      <c r="F2032" s="91">
        <v>46691</v>
      </c>
      <c r="G2032" s="92">
        <v>55715</v>
      </c>
      <c r="H2032" s="90" t="s">
        <v>11</v>
      </c>
      <c r="I20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32" s="90" t="s">
        <v>9458</v>
      </c>
    </row>
    <row r="2033" spans="1:11">
      <c r="A2033" s="90" t="s">
        <v>9457</v>
      </c>
      <c r="B2033" s="90" t="s">
        <v>9458</v>
      </c>
      <c r="C2033" s="90" t="s">
        <v>16</v>
      </c>
      <c r="D2033" s="90" t="str">
        <f>VLOOKUP(Tabela1[[#This Row],[Origem]],'Perguntas 1 a 24'!$J$28:$K$34,2,FALSE)</f>
        <v>Sudeste</v>
      </c>
      <c r="E2033" s="90" t="s">
        <v>13371</v>
      </c>
      <c r="F2033" s="91">
        <v>46692</v>
      </c>
      <c r="G2033" s="92">
        <v>58282</v>
      </c>
      <c r="H2033" s="90" t="s">
        <v>14</v>
      </c>
      <c r="I20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33" s="90" t="s">
        <v>4979</v>
      </c>
    </row>
    <row r="2034" spans="1:11">
      <c r="A2034" s="90" t="s">
        <v>4978</v>
      </c>
      <c r="B2034" s="90" t="s">
        <v>4979</v>
      </c>
      <c r="C2034" s="90" t="s">
        <v>16</v>
      </c>
      <c r="D2034" s="90" t="str">
        <f>VLOOKUP(Tabela1[[#This Row],[Origem]],'Perguntas 1 a 24'!$J$28:$K$34,2,FALSE)</f>
        <v>Sudeste</v>
      </c>
      <c r="E2034" s="90" t="s">
        <v>13372</v>
      </c>
      <c r="F2034" s="91">
        <v>46693</v>
      </c>
      <c r="G2034" s="92">
        <v>107740</v>
      </c>
      <c r="H2034" s="90" t="s">
        <v>11</v>
      </c>
      <c r="I20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34" s="90" t="s">
        <v>9204</v>
      </c>
    </row>
    <row r="2035" spans="1:11">
      <c r="A2035" s="90" t="s">
        <v>9203</v>
      </c>
      <c r="B2035" s="90" t="s">
        <v>9204</v>
      </c>
      <c r="C2035" s="90" t="s">
        <v>8</v>
      </c>
      <c r="D2035" s="90" t="str">
        <f>VLOOKUP(Tabela1[[#This Row],[Origem]],'Perguntas 1 a 24'!$J$28:$K$34,2,FALSE)</f>
        <v>Nordeste</v>
      </c>
      <c r="E2035" s="90" t="s">
        <v>13373</v>
      </c>
      <c r="F2035" s="91">
        <v>46694</v>
      </c>
      <c r="G2035" s="92">
        <v>65720</v>
      </c>
      <c r="H2035" s="90" t="s">
        <v>11</v>
      </c>
      <c r="I20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35" s="90" t="s">
        <v>10240</v>
      </c>
    </row>
    <row r="2036" spans="1:11">
      <c r="A2036" s="90" t="s">
        <v>10239</v>
      </c>
      <c r="B2036" s="90" t="s">
        <v>10240</v>
      </c>
      <c r="C2036" s="90" t="s">
        <v>6</v>
      </c>
      <c r="D2036" s="90" t="str">
        <f>VLOOKUP(Tabela1[[#This Row],[Origem]],'Perguntas 1 a 24'!$J$28:$K$34,2,FALSE)</f>
        <v>Nordeste</v>
      </c>
      <c r="E2036" s="90" t="s">
        <v>13374</v>
      </c>
      <c r="F2036" s="91">
        <v>46694</v>
      </c>
      <c r="G2036" s="92">
        <v>112267</v>
      </c>
      <c r="H2036" s="90" t="s">
        <v>14</v>
      </c>
      <c r="I20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36" s="90" t="s">
        <v>7257</v>
      </c>
    </row>
    <row r="2037" spans="1:11">
      <c r="A2037" s="90" t="s">
        <v>7256</v>
      </c>
      <c r="B2037" s="90" t="s">
        <v>7257</v>
      </c>
      <c r="C2037" s="90" t="s">
        <v>16</v>
      </c>
      <c r="D2037" s="90" t="str">
        <f>VLOOKUP(Tabela1[[#This Row],[Origem]],'Perguntas 1 a 24'!$J$28:$K$34,2,FALSE)</f>
        <v>Sudeste</v>
      </c>
      <c r="E2037" s="90" t="s">
        <v>13375</v>
      </c>
      <c r="F2037" s="91">
        <v>46695</v>
      </c>
      <c r="G2037" s="92">
        <v>55815</v>
      </c>
      <c r="H2037" s="90" t="s">
        <v>11</v>
      </c>
      <c r="I20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37" s="90" t="s">
        <v>7423</v>
      </c>
    </row>
    <row r="2038" spans="1:11">
      <c r="A2038" s="90" t="s">
        <v>7422</v>
      </c>
      <c r="B2038" s="90" t="s">
        <v>7423</v>
      </c>
      <c r="C2038" s="90" t="s">
        <v>10</v>
      </c>
      <c r="D2038" s="90" t="str">
        <f>VLOOKUP(Tabela1[[#This Row],[Origem]],'Perguntas 1 a 24'!$J$28:$K$34,2,FALSE)</f>
        <v>Centro-Oeste</v>
      </c>
      <c r="E2038" s="90" t="s">
        <v>13376</v>
      </c>
      <c r="F2038" s="91">
        <v>46695</v>
      </c>
      <c r="G2038" s="92">
        <v>90559</v>
      </c>
      <c r="H2038" s="90" t="s">
        <v>7</v>
      </c>
      <c r="I20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38" s="90" t="s">
        <v>4879</v>
      </c>
    </row>
    <row r="2039" spans="1:11">
      <c r="A2039" s="90" t="s">
        <v>4878</v>
      </c>
      <c r="B2039" s="90" t="s">
        <v>4879</v>
      </c>
      <c r="C2039" s="90" t="s">
        <v>13</v>
      </c>
      <c r="D2039" s="90" t="str">
        <f>VLOOKUP(Tabela1[[#This Row],[Origem]],'Perguntas 1 a 24'!$J$28:$K$34,2,FALSE)</f>
        <v>Sudeste</v>
      </c>
      <c r="E2039" s="90" t="s">
        <v>13377</v>
      </c>
      <c r="F2039" s="91">
        <v>46696</v>
      </c>
      <c r="G2039" s="92">
        <v>87516</v>
      </c>
      <c r="H2039" s="90" t="s">
        <v>14</v>
      </c>
      <c r="I20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39" s="90" t="s">
        <v>7929</v>
      </c>
    </row>
    <row r="2040" spans="1:11">
      <c r="A2040" s="90" t="s">
        <v>7928</v>
      </c>
      <c r="B2040" s="90" t="s">
        <v>7929</v>
      </c>
      <c r="C2040" s="90" t="s">
        <v>6</v>
      </c>
      <c r="D2040" s="90" t="str">
        <f>VLOOKUP(Tabela1[[#This Row],[Origem]],'Perguntas 1 a 24'!$J$28:$K$34,2,FALSE)</f>
        <v>Nordeste</v>
      </c>
      <c r="E2040" s="90" t="s">
        <v>13378</v>
      </c>
      <c r="F2040" s="91">
        <v>46698</v>
      </c>
      <c r="G2040" s="92">
        <v>25798</v>
      </c>
      <c r="H2040" s="90" t="s">
        <v>9</v>
      </c>
      <c r="I20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40" s="90" t="s">
        <v>8856</v>
      </c>
    </row>
    <row r="2041" spans="1:11">
      <c r="A2041" s="90" t="s">
        <v>8855</v>
      </c>
      <c r="B2041" s="90" t="s">
        <v>8856</v>
      </c>
      <c r="C2041" s="90" t="s">
        <v>12</v>
      </c>
      <c r="D2041" s="90" t="str">
        <f>VLOOKUP(Tabela1[[#This Row],[Origem]],'Perguntas 1 a 24'!$J$28:$K$34,2,FALSE)</f>
        <v>Sudeste</v>
      </c>
      <c r="E2041" s="90" t="s">
        <v>13379</v>
      </c>
      <c r="F2041" s="91">
        <v>46698</v>
      </c>
      <c r="G2041" s="92">
        <v>40413</v>
      </c>
      <c r="H2041" s="90" t="s">
        <v>14</v>
      </c>
      <c r="I20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41" s="90" t="s">
        <v>6737</v>
      </c>
    </row>
    <row r="2042" spans="1:11">
      <c r="A2042" s="90" t="s">
        <v>6736</v>
      </c>
      <c r="B2042" s="90" t="s">
        <v>6737</v>
      </c>
      <c r="C2042" s="90" t="s">
        <v>15</v>
      </c>
      <c r="D2042" s="90" t="str">
        <f>VLOOKUP(Tabela1[[#This Row],[Origem]],'Perguntas 1 a 24'!$J$28:$K$34,2,FALSE)</f>
        <v>Sudeste</v>
      </c>
      <c r="E2042" s="90" t="s">
        <v>13380</v>
      </c>
      <c r="F2042" s="91">
        <v>46699</v>
      </c>
      <c r="G2042" s="92">
        <v>97211</v>
      </c>
      <c r="H2042" s="90" t="s">
        <v>7</v>
      </c>
      <c r="I20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42" s="90" t="s">
        <v>7747</v>
      </c>
    </row>
    <row r="2043" spans="1:11">
      <c r="A2043" s="90" t="s">
        <v>7746</v>
      </c>
      <c r="B2043" s="90" t="s">
        <v>7747</v>
      </c>
      <c r="C2043" s="90" t="s">
        <v>6</v>
      </c>
      <c r="D2043" s="90" t="str">
        <f>VLOOKUP(Tabela1[[#This Row],[Origem]],'Perguntas 1 a 24'!$J$28:$K$34,2,FALSE)</f>
        <v>Nordeste</v>
      </c>
      <c r="E2043" s="90" t="s">
        <v>13381</v>
      </c>
      <c r="F2043" s="91">
        <v>46699</v>
      </c>
      <c r="G2043" s="92">
        <v>57936</v>
      </c>
      <c r="H2043" s="90" t="s">
        <v>14</v>
      </c>
      <c r="I20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43" s="90" t="s">
        <v>8598</v>
      </c>
    </row>
    <row r="2044" spans="1:11">
      <c r="A2044" s="90" t="s">
        <v>8597</v>
      </c>
      <c r="B2044" s="90" t="s">
        <v>8598</v>
      </c>
      <c r="C2044" s="90" t="s">
        <v>10</v>
      </c>
      <c r="D2044" s="90" t="str">
        <f>VLOOKUP(Tabela1[[#This Row],[Origem]],'Perguntas 1 a 24'!$J$28:$K$34,2,FALSE)</f>
        <v>Centro-Oeste</v>
      </c>
      <c r="E2044" s="90" t="s">
        <v>13382</v>
      </c>
      <c r="F2044" s="91">
        <v>46700</v>
      </c>
      <c r="G2044" s="92">
        <v>82324</v>
      </c>
      <c r="H2044" s="90" t="s">
        <v>7</v>
      </c>
      <c r="I20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44" s="90" t="s">
        <v>9602</v>
      </c>
    </row>
    <row r="2045" spans="1:11">
      <c r="A2045" s="90" t="s">
        <v>9601</v>
      </c>
      <c r="B2045" s="90" t="s">
        <v>9602</v>
      </c>
      <c r="C2045" s="90" t="s">
        <v>13</v>
      </c>
      <c r="D2045" s="90" t="str">
        <f>VLOOKUP(Tabela1[[#This Row],[Origem]],'Perguntas 1 a 24'!$J$28:$K$34,2,FALSE)</f>
        <v>Sudeste</v>
      </c>
      <c r="E2045" s="90" t="s">
        <v>13383</v>
      </c>
      <c r="F2045" s="91">
        <v>46700</v>
      </c>
      <c r="G2045" s="92">
        <v>92864</v>
      </c>
      <c r="H2045" s="90" t="s">
        <v>14</v>
      </c>
      <c r="I20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45" s="90" t="s">
        <v>4184</v>
      </c>
    </row>
    <row r="2046" spans="1:11">
      <c r="A2046" s="90" t="s">
        <v>4183</v>
      </c>
      <c r="B2046" s="90" t="s">
        <v>4184</v>
      </c>
      <c r="C2046" s="90" t="s">
        <v>10</v>
      </c>
      <c r="D2046" s="90" t="str">
        <f>VLOOKUP(Tabela1[[#This Row],[Origem]],'Perguntas 1 a 24'!$J$28:$K$34,2,FALSE)</f>
        <v>Centro-Oeste</v>
      </c>
      <c r="E2046" s="90" t="s">
        <v>13384</v>
      </c>
      <c r="F2046" s="91">
        <v>46702</v>
      </c>
      <c r="G2046" s="92">
        <v>87734</v>
      </c>
      <c r="H2046" s="90" t="s">
        <v>14</v>
      </c>
      <c r="I20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46" s="90" t="s">
        <v>4565</v>
      </c>
    </row>
    <row r="2047" spans="1:11">
      <c r="A2047" s="90" t="s">
        <v>4564</v>
      </c>
      <c r="B2047" s="90" t="s">
        <v>4565</v>
      </c>
      <c r="C2047" s="90" t="s">
        <v>15</v>
      </c>
      <c r="D2047" s="90" t="str">
        <f>VLOOKUP(Tabela1[[#This Row],[Origem]],'Perguntas 1 a 24'!$J$28:$K$34,2,FALSE)</f>
        <v>Sudeste</v>
      </c>
      <c r="E2047" s="90" t="s">
        <v>13385</v>
      </c>
      <c r="F2047" s="91">
        <v>46703</v>
      </c>
      <c r="G2047" s="92">
        <v>61967</v>
      </c>
      <c r="H2047" s="90" t="s">
        <v>7</v>
      </c>
      <c r="I20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47" s="90" t="s">
        <v>4515</v>
      </c>
    </row>
    <row r="2048" spans="1:11">
      <c r="A2048" s="90" t="s">
        <v>4514</v>
      </c>
      <c r="B2048" s="90" t="s">
        <v>4515</v>
      </c>
      <c r="C2048" s="90" t="s">
        <v>6</v>
      </c>
      <c r="D2048" s="90" t="str">
        <f>VLOOKUP(Tabela1[[#This Row],[Origem]],'Perguntas 1 a 24'!$J$28:$K$34,2,FALSE)</f>
        <v>Nordeste</v>
      </c>
      <c r="E2048" s="90" t="s">
        <v>13386</v>
      </c>
      <c r="F2048" s="91">
        <v>46704</v>
      </c>
      <c r="G2048" s="92">
        <v>74571</v>
      </c>
      <c r="H2048" s="90" t="s">
        <v>7</v>
      </c>
      <c r="I20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48" s="90" t="s">
        <v>4975</v>
      </c>
    </row>
    <row r="2049" spans="1:11">
      <c r="A2049" s="90" t="s">
        <v>4974</v>
      </c>
      <c r="B2049" s="90" t="s">
        <v>4975</v>
      </c>
      <c r="C2049" s="90" t="s">
        <v>16</v>
      </c>
      <c r="D2049" s="90" t="str">
        <f>VLOOKUP(Tabela1[[#This Row],[Origem]],'Perguntas 1 a 24'!$J$28:$K$34,2,FALSE)</f>
        <v>Sudeste</v>
      </c>
      <c r="E2049" s="90" t="s">
        <v>13387</v>
      </c>
      <c r="F2049" s="91">
        <v>46704</v>
      </c>
      <c r="G2049" s="92">
        <v>24308</v>
      </c>
      <c r="H2049" s="90" t="s">
        <v>7</v>
      </c>
      <c r="I20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49" s="90" t="s">
        <v>5815</v>
      </c>
    </row>
    <row r="2050" spans="1:11">
      <c r="A2050" s="90" t="s">
        <v>5814</v>
      </c>
      <c r="B2050" s="90" t="s">
        <v>5815</v>
      </c>
      <c r="C2050" s="90" t="s">
        <v>6</v>
      </c>
      <c r="D2050" s="90" t="str">
        <f>VLOOKUP(Tabela1[[#This Row],[Origem]],'Perguntas 1 a 24'!$J$28:$K$34,2,FALSE)</f>
        <v>Nordeste</v>
      </c>
      <c r="E2050" s="90" t="s">
        <v>13388</v>
      </c>
      <c r="F2050" s="91">
        <v>46704</v>
      </c>
      <c r="G2050" s="92">
        <v>74895</v>
      </c>
      <c r="H2050" s="90" t="s">
        <v>11</v>
      </c>
      <c r="I20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50" s="90" t="s">
        <v>7081</v>
      </c>
    </row>
    <row r="2051" spans="1:11">
      <c r="A2051" s="90" t="s">
        <v>7080</v>
      </c>
      <c r="B2051" s="90" t="s">
        <v>7081</v>
      </c>
      <c r="C2051" s="90" t="s">
        <v>10</v>
      </c>
      <c r="D2051" s="90" t="str">
        <f>VLOOKUP(Tabela1[[#This Row],[Origem]],'Perguntas 1 a 24'!$J$28:$K$34,2,FALSE)</f>
        <v>Centro-Oeste</v>
      </c>
      <c r="E2051" s="90" t="s">
        <v>13389</v>
      </c>
      <c r="F2051" s="91">
        <v>46704</v>
      </c>
      <c r="G2051" s="92">
        <v>83305</v>
      </c>
      <c r="H2051" s="90" t="s">
        <v>9</v>
      </c>
      <c r="I20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51" s="90" t="s">
        <v>8872</v>
      </c>
    </row>
    <row r="2052" spans="1:11">
      <c r="A2052" s="90" t="s">
        <v>8871</v>
      </c>
      <c r="B2052" s="90" t="s">
        <v>8872</v>
      </c>
      <c r="C2052" s="90" t="s">
        <v>12</v>
      </c>
      <c r="D2052" s="90" t="str">
        <f>VLOOKUP(Tabela1[[#This Row],[Origem]],'Perguntas 1 a 24'!$J$28:$K$34,2,FALSE)</f>
        <v>Sudeste</v>
      </c>
      <c r="E2052" s="90" t="s">
        <v>13390</v>
      </c>
      <c r="F2052" s="91">
        <v>46704</v>
      </c>
      <c r="G2052" s="92">
        <v>38705</v>
      </c>
      <c r="H2052" s="90" t="s">
        <v>11</v>
      </c>
      <c r="I20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52" s="90" t="s">
        <v>5385</v>
      </c>
    </row>
    <row r="2053" spans="1:11">
      <c r="A2053" s="90" t="s">
        <v>5384</v>
      </c>
      <c r="B2053" s="90" t="s">
        <v>5385</v>
      </c>
      <c r="C2053" s="90" t="s">
        <v>12</v>
      </c>
      <c r="D2053" s="90" t="str">
        <f>VLOOKUP(Tabela1[[#This Row],[Origem]],'Perguntas 1 a 24'!$J$28:$K$34,2,FALSE)</f>
        <v>Sudeste</v>
      </c>
      <c r="E2053" s="90" t="s">
        <v>13391</v>
      </c>
      <c r="F2053" s="91">
        <v>46705</v>
      </c>
      <c r="G2053" s="92">
        <v>71242</v>
      </c>
      <c r="H2053" s="90" t="s">
        <v>14</v>
      </c>
      <c r="I20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53" s="90" t="s">
        <v>6521</v>
      </c>
    </row>
    <row r="2054" spans="1:11">
      <c r="A2054" s="90" t="s">
        <v>6520</v>
      </c>
      <c r="B2054" s="90" t="s">
        <v>6521</v>
      </c>
      <c r="C2054" s="90" t="s">
        <v>6</v>
      </c>
      <c r="D2054" s="90" t="str">
        <f>VLOOKUP(Tabela1[[#This Row],[Origem]],'Perguntas 1 a 24'!$J$28:$K$34,2,FALSE)</f>
        <v>Nordeste</v>
      </c>
      <c r="E2054" s="90" t="s">
        <v>13392</v>
      </c>
      <c r="F2054" s="91">
        <v>46706</v>
      </c>
      <c r="G2054" s="92">
        <v>114675</v>
      </c>
      <c r="H2054" s="90" t="s">
        <v>11</v>
      </c>
      <c r="I20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54" s="90" t="s">
        <v>6143</v>
      </c>
    </row>
    <row r="2055" spans="1:11">
      <c r="A2055" s="90" t="s">
        <v>6142</v>
      </c>
      <c r="B2055" s="90" t="s">
        <v>6143</v>
      </c>
      <c r="C2055" s="90" t="s">
        <v>8</v>
      </c>
      <c r="D2055" s="90" t="str">
        <f>VLOOKUP(Tabela1[[#This Row],[Origem]],'Perguntas 1 a 24'!$J$28:$K$34,2,FALSE)</f>
        <v>Nordeste</v>
      </c>
      <c r="E2055" s="90" t="s">
        <v>13393</v>
      </c>
      <c r="F2055" s="91">
        <v>46707</v>
      </c>
      <c r="G2055" s="92">
        <v>42684</v>
      </c>
      <c r="H2055" s="90" t="s">
        <v>9</v>
      </c>
      <c r="I20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55" s="90" t="s">
        <v>6843</v>
      </c>
    </row>
    <row r="2056" spans="1:11">
      <c r="A2056" s="90" t="s">
        <v>6842</v>
      </c>
      <c r="B2056" s="90" t="s">
        <v>6843</v>
      </c>
      <c r="C2056" s="90" t="s">
        <v>12</v>
      </c>
      <c r="D2056" s="90" t="str">
        <f>VLOOKUP(Tabela1[[#This Row],[Origem]],'Perguntas 1 a 24'!$J$28:$K$34,2,FALSE)</f>
        <v>Sudeste</v>
      </c>
      <c r="E2056" s="90" t="s">
        <v>13394</v>
      </c>
      <c r="F2056" s="91">
        <v>46707</v>
      </c>
      <c r="G2056" s="92">
        <v>49702</v>
      </c>
      <c r="H2056" s="90" t="s">
        <v>9</v>
      </c>
      <c r="I20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56" s="90" t="s">
        <v>10320</v>
      </c>
    </row>
    <row r="2057" spans="1:11">
      <c r="A2057" s="90" t="s">
        <v>10319</v>
      </c>
      <c r="B2057" s="90" t="s">
        <v>10320</v>
      </c>
      <c r="C2057" s="90" t="s">
        <v>10</v>
      </c>
      <c r="D2057" s="90" t="str">
        <f>VLOOKUP(Tabela1[[#This Row],[Origem]],'Perguntas 1 a 24'!$J$28:$K$34,2,FALSE)</f>
        <v>Centro-Oeste</v>
      </c>
      <c r="E2057" s="90" t="s">
        <v>13395</v>
      </c>
      <c r="F2057" s="91">
        <v>46707</v>
      </c>
      <c r="G2057" s="92">
        <v>46273</v>
      </c>
      <c r="H2057" s="90" t="s">
        <v>14</v>
      </c>
      <c r="I20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57" s="90" t="s">
        <v>5757</v>
      </c>
    </row>
    <row r="2058" spans="1:11">
      <c r="A2058" s="90" t="s">
        <v>5756</v>
      </c>
      <c r="B2058" s="90" t="s">
        <v>5757</v>
      </c>
      <c r="C2058" s="90" t="s">
        <v>12</v>
      </c>
      <c r="D2058" s="90" t="str">
        <f>VLOOKUP(Tabela1[[#This Row],[Origem]],'Perguntas 1 a 24'!$J$28:$K$34,2,FALSE)</f>
        <v>Sudeste</v>
      </c>
      <c r="E2058" s="90" t="s">
        <v>13396</v>
      </c>
      <c r="F2058" s="91">
        <v>46709</v>
      </c>
      <c r="G2058" s="92">
        <v>119375</v>
      </c>
      <c r="H2058" s="90" t="s">
        <v>11</v>
      </c>
      <c r="I20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58" s="90" t="s">
        <v>6781</v>
      </c>
    </row>
    <row r="2059" spans="1:11">
      <c r="A2059" s="90" t="s">
        <v>6780</v>
      </c>
      <c r="B2059" s="90" t="s">
        <v>6781</v>
      </c>
      <c r="C2059" s="90" t="s">
        <v>16</v>
      </c>
      <c r="D2059" s="90" t="str">
        <f>VLOOKUP(Tabela1[[#This Row],[Origem]],'Perguntas 1 a 24'!$J$28:$K$34,2,FALSE)</f>
        <v>Sudeste</v>
      </c>
      <c r="E2059" s="90" t="s">
        <v>13397</v>
      </c>
      <c r="F2059" s="91">
        <v>46709</v>
      </c>
      <c r="G2059" s="92">
        <v>54918</v>
      </c>
      <c r="H2059" s="90" t="s">
        <v>11</v>
      </c>
      <c r="I20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59" s="90" t="s">
        <v>8327</v>
      </c>
    </row>
    <row r="2060" spans="1:11">
      <c r="A2060" s="90" t="s">
        <v>8326</v>
      </c>
      <c r="B2060" s="90" t="s">
        <v>8327</v>
      </c>
      <c r="C2060" s="90" t="s">
        <v>12</v>
      </c>
      <c r="D2060" s="90" t="str">
        <f>VLOOKUP(Tabela1[[#This Row],[Origem]],'Perguntas 1 a 24'!$J$28:$K$34,2,FALSE)</f>
        <v>Sudeste</v>
      </c>
      <c r="E2060" s="90" t="s">
        <v>13398</v>
      </c>
      <c r="F2060" s="91">
        <v>46710</v>
      </c>
      <c r="G2060" s="92">
        <v>27042</v>
      </c>
      <c r="H2060" s="90" t="s">
        <v>7</v>
      </c>
      <c r="I20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60" s="90" t="s">
        <v>9790</v>
      </c>
    </row>
    <row r="2061" spans="1:11">
      <c r="A2061" s="90" t="s">
        <v>9789</v>
      </c>
      <c r="B2061" s="90" t="s">
        <v>9790</v>
      </c>
      <c r="C2061" s="90" t="s">
        <v>10</v>
      </c>
      <c r="D2061" s="90" t="str">
        <f>VLOOKUP(Tabela1[[#This Row],[Origem]],'Perguntas 1 a 24'!$J$28:$K$34,2,FALSE)</f>
        <v>Centro-Oeste</v>
      </c>
      <c r="E2061" s="90" t="s">
        <v>13399</v>
      </c>
      <c r="F2061" s="91">
        <v>46710</v>
      </c>
      <c r="G2061" s="92">
        <v>55588</v>
      </c>
      <c r="H2061" s="90" t="s">
        <v>7</v>
      </c>
      <c r="I20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61" s="90" t="s">
        <v>11146</v>
      </c>
    </row>
    <row r="2062" spans="1:11">
      <c r="A2062" s="90" t="s">
        <v>11145</v>
      </c>
      <c r="B2062" s="90" t="s">
        <v>11146</v>
      </c>
      <c r="C2062" s="90" t="s">
        <v>8</v>
      </c>
      <c r="D2062" s="90" t="str">
        <f>VLOOKUP(Tabela1[[#This Row],[Origem]],'Perguntas 1 a 24'!$J$28:$K$34,2,FALSE)</f>
        <v>Nordeste</v>
      </c>
      <c r="E2062" s="90" t="s">
        <v>13400</v>
      </c>
      <c r="F2062" s="91">
        <v>46710</v>
      </c>
      <c r="G2062" s="92">
        <v>104328</v>
      </c>
      <c r="H2062" s="90" t="s">
        <v>11</v>
      </c>
      <c r="I20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62" s="90" t="s">
        <v>4645</v>
      </c>
    </row>
    <row r="2063" spans="1:11">
      <c r="A2063" s="90" t="s">
        <v>4644</v>
      </c>
      <c r="B2063" s="90" t="s">
        <v>4645</v>
      </c>
      <c r="C2063" s="90" t="s">
        <v>8</v>
      </c>
      <c r="D2063" s="90" t="str">
        <f>VLOOKUP(Tabela1[[#This Row],[Origem]],'Perguntas 1 a 24'!$J$28:$K$34,2,FALSE)</f>
        <v>Nordeste</v>
      </c>
      <c r="E2063" s="90" t="s">
        <v>13401</v>
      </c>
      <c r="F2063" s="91">
        <v>46711</v>
      </c>
      <c r="G2063" s="92">
        <v>20954</v>
      </c>
      <c r="H2063" s="90" t="s">
        <v>14</v>
      </c>
      <c r="I20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63" s="90" t="s">
        <v>7745</v>
      </c>
    </row>
    <row r="2064" spans="1:11">
      <c r="A2064" s="90" t="s">
        <v>7744</v>
      </c>
      <c r="B2064" s="90" t="s">
        <v>7745</v>
      </c>
      <c r="C2064" s="90" t="s">
        <v>12</v>
      </c>
      <c r="D2064" s="90" t="str">
        <f>VLOOKUP(Tabela1[[#This Row],[Origem]],'Perguntas 1 a 24'!$J$28:$K$34,2,FALSE)</f>
        <v>Sudeste</v>
      </c>
      <c r="E2064" s="90" t="s">
        <v>13402</v>
      </c>
      <c r="F2064" s="91">
        <v>46711</v>
      </c>
      <c r="G2064" s="92">
        <v>34462</v>
      </c>
      <c r="H2064" s="90" t="s">
        <v>14</v>
      </c>
      <c r="I20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64" s="90" t="s">
        <v>7873</v>
      </c>
    </row>
    <row r="2065" spans="1:11">
      <c r="A2065" s="90" t="s">
        <v>7872</v>
      </c>
      <c r="B2065" s="90" t="s">
        <v>7873</v>
      </c>
      <c r="C2065" s="90" t="s">
        <v>12</v>
      </c>
      <c r="D2065" s="90" t="str">
        <f>VLOOKUP(Tabela1[[#This Row],[Origem]],'Perguntas 1 a 24'!$J$28:$K$34,2,FALSE)</f>
        <v>Sudeste</v>
      </c>
      <c r="E2065" s="90" t="s">
        <v>13403</v>
      </c>
      <c r="F2065" s="91">
        <v>46711</v>
      </c>
      <c r="G2065" s="92">
        <v>22860</v>
      </c>
      <c r="H2065" s="90" t="s">
        <v>9</v>
      </c>
      <c r="I20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65" s="90" t="s">
        <v>8908</v>
      </c>
    </row>
    <row r="2066" spans="1:11">
      <c r="A2066" s="90" t="s">
        <v>8907</v>
      </c>
      <c r="B2066" s="90" t="s">
        <v>8908</v>
      </c>
      <c r="C2066" s="90" t="s">
        <v>8</v>
      </c>
      <c r="D2066" s="90" t="str">
        <f>VLOOKUP(Tabela1[[#This Row],[Origem]],'Perguntas 1 a 24'!$J$28:$K$34,2,FALSE)</f>
        <v>Nordeste</v>
      </c>
      <c r="E2066" s="90" t="s">
        <v>13404</v>
      </c>
      <c r="F2066" s="91">
        <v>46711</v>
      </c>
      <c r="G2066" s="92">
        <v>115032</v>
      </c>
      <c r="H2066" s="90" t="s">
        <v>14</v>
      </c>
      <c r="I20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66" s="90" t="s">
        <v>10118</v>
      </c>
    </row>
    <row r="2067" spans="1:11">
      <c r="A2067" s="90" t="s">
        <v>10117</v>
      </c>
      <c r="B2067" s="90" t="s">
        <v>10118</v>
      </c>
      <c r="C2067" s="90" t="s">
        <v>10</v>
      </c>
      <c r="D2067" s="90" t="str">
        <f>VLOOKUP(Tabela1[[#This Row],[Origem]],'Perguntas 1 a 24'!$J$28:$K$34,2,FALSE)</f>
        <v>Centro-Oeste</v>
      </c>
      <c r="E2067" s="90" t="s">
        <v>13405</v>
      </c>
      <c r="F2067" s="91">
        <v>46711</v>
      </c>
      <c r="G2067" s="92">
        <v>62152</v>
      </c>
      <c r="H2067" s="90" t="s">
        <v>7</v>
      </c>
      <c r="I20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67" s="90" t="s">
        <v>10962</v>
      </c>
    </row>
    <row r="2068" spans="1:11">
      <c r="A2068" s="90" t="s">
        <v>10961</v>
      </c>
      <c r="B2068" s="90" t="s">
        <v>10962</v>
      </c>
      <c r="C2068" s="90" t="s">
        <v>16</v>
      </c>
      <c r="D2068" s="90" t="str">
        <f>VLOOKUP(Tabela1[[#This Row],[Origem]],'Perguntas 1 a 24'!$J$28:$K$34,2,FALSE)</f>
        <v>Sudeste</v>
      </c>
      <c r="E2068" s="90" t="s">
        <v>13406</v>
      </c>
      <c r="F2068" s="91">
        <v>46711</v>
      </c>
      <c r="G2068" s="92">
        <v>102773</v>
      </c>
      <c r="H2068" s="90" t="s">
        <v>7</v>
      </c>
      <c r="I20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68" s="90" t="s">
        <v>5189</v>
      </c>
    </row>
    <row r="2069" spans="1:11">
      <c r="A2069" s="90" t="s">
        <v>5188</v>
      </c>
      <c r="B2069" s="90" t="s">
        <v>5189</v>
      </c>
      <c r="C2069" s="90" t="s">
        <v>13</v>
      </c>
      <c r="D2069" s="90" t="str">
        <f>VLOOKUP(Tabela1[[#This Row],[Origem]],'Perguntas 1 a 24'!$J$28:$K$34,2,FALSE)</f>
        <v>Sudeste</v>
      </c>
      <c r="E2069" s="90" t="s">
        <v>13407</v>
      </c>
      <c r="F2069" s="91">
        <v>46712</v>
      </c>
      <c r="G2069" s="92">
        <v>89151</v>
      </c>
      <c r="H2069" s="90" t="s">
        <v>14</v>
      </c>
      <c r="I20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69" s="90" t="s">
        <v>7087</v>
      </c>
    </row>
    <row r="2070" spans="1:11">
      <c r="A2070" s="90" t="s">
        <v>7086</v>
      </c>
      <c r="B2070" s="90" t="s">
        <v>7087</v>
      </c>
      <c r="C2070" s="90" t="s">
        <v>12</v>
      </c>
      <c r="D2070" s="90" t="str">
        <f>VLOOKUP(Tabela1[[#This Row],[Origem]],'Perguntas 1 a 24'!$J$28:$K$34,2,FALSE)</f>
        <v>Sudeste</v>
      </c>
      <c r="E2070" s="90" t="s">
        <v>13408</v>
      </c>
      <c r="F2070" s="91">
        <v>46714</v>
      </c>
      <c r="G2070" s="92">
        <v>101920</v>
      </c>
      <c r="H2070" s="90" t="s">
        <v>11</v>
      </c>
      <c r="I20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0" s="90" t="s">
        <v>9802</v>
      </c>
    </row>
    <row r="2071" spans="1:11">
      <c r="A2071" s="90" t="s">
        <v>9801</v>
      </c>
      <c r="B2071" s="90" t="s">
        <v>9802</v>
      </c>
      <c r="C2071" s="90" t="s">
        <v>16</v>
      </c>
      <c r="D2071" s="90" t="str">
        <f>VLOOKUP(Tabela1[[#This Row],[Origem]],'Perguntas 1 a 24'!$J$28:$K$34,2,FALSE)</f>
        <v>Sudeste</v>
      </c>
      <c r="E2071" s="90" t="s">
        <v>13409</v>
      </c>
      <c r="F2071" s="91">
        <v>46714</v>
      </c>
      <c r="G2071" s="92">
        <v>97871</v>
      </c>
      <c r="H2071" s="90" t="s">
        <v>9</v>
      </c>
      <c r="I20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1" s="90" t="s">
        <v>10344</v>
      </c>
    </row>
    <row r="2072" spans="1:11">
      <c r="A2072" s="90" t="s">
        <v>10343</v>
      </c>
      <c r="B2072" s="90" t="s">
        <v>10344</v>
      </c>
      <c r="C2072" s="90" t="s">
        <v>8</v>
      </c>
      <c r="D2072" s="90" t="str">
        <f>VLOOKUP(Tabela1[[#This Row],[Origem]],'Perguntas 1 a 24'!$J$28:$K$34,2,FALSE)</f>
        <v>Nordeste</v>
      </c>
      <c r="E2072" s="90" t="s">
        <v>13410</v>
      </c>
      <c r="F2072" s="91">
        <v>46714</v>
      </c>
      <c r="G2072" s="92">
        <v>78530</v>
      </c>
      <c r="H2072" s="90" t="s">
        <v>11</v>
      </c>
      <c r="I20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2" s="90" t="s">
        <v>9504</v>
      </c>
    </row>
    <row r="2073" spans="1:11">
      <c r="A2073" s="90" t="s">
        <v>9503</v>
      </c>
      <c r="B2073" s="90" t="s">
        <v>9504</v>
      </c>
      <c r="C2073" s="90" t="s">
        <v>16</v>
      </c>
      <c r="D2073" s="90" t="str">
        <f>VLOOKUP(Tabela1[[#This Row],[Origem]],'Perguntas 1 a 24'!$J$28:$K$34,2,FALSE)</f>
        <v>Sudeste</v>
      </c>
      <c r="E2073" s="90" t="s">
        <v>13411</v>
      </c>
      <c r="F2073" s="91">
        <v>46715</v>
      </c>
      <c r="G2073" s="92">
        <v>35952</v>
      </c>
      <c r="H2073" s="90" t="s">
        <v>7</v>
      </c>
      <c r="I20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73" s="90" t="s">
        <v>7125</v>
      </c>
    </row>
    <row r="2074" spans="1:11">
      <c r="A2074" s="90" t="s">
        <v>7124</v>
      </c>
      <c r="B2074" s="90" t="s">
        <v>7125</v>
      </c>
      <c r="C2074" s="90" t="s">
        <v>8</v>
      </c>
      <c r="D2074" s="90" t="str">
        <f>VLOOKUP(Tabela1[[#This Row],[Origem]],'Perguntas 1 a 24'!$J$28:$K$34,2,FALSE)</f>
        <v>Nordeste</v>
      </c>
      <c r="E2074" s="90" t="s">
        <v>13412</v>
      </c>
      <c r="F2074" s="91">
        <v>46716</v>
      </c>
      <c r="G2074" s="92">
        <v>106928</v>
      </c>
      <c r="H2074" s="90" t="s">
        <v>7</v>
      </c>
      <c r="I20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4" s="90" t="s">
        <v>7043</v>
      </c>
    </row>
    <row r="2075" spans="1:11">
      <c r="A2075" s="90" t="s">
        <v>7042</v>
      </c>
      <c r="B2075" s="90" t="s">
        <v>7043</v>
      </c>
      <c r="C2075" s="90" t="s">
        <v>13</v>
      </c>
      <c r="D2075" s="90" t="str">
        <f>VLOOKUP(Tabela1[[#This Row],[Origem]],'Perguntas 1 a 24'!$J$28:$K$34,2,FALSE)</f>
        <v>Sudeste</v>
      </c>
      <c r="E2075" s="90" t="s">
        <v>13413</v>
      </c>
      <c r="F2075" s="91">
        <v>46718</v>
      </c>
      <c r="G2075" s="92">
        <v>65417</v>
      </c>
      <c r="H2075" s="90" t="s">
        <v>14</v>
      </c>
      <c r="I20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5" s="90" t="s">
        <v>8794</v>
      </c>
    </row>
    <row r="2076" spans="1:11">
      <c r="A2076" s="90" t="s">
        <v>8793</v>
      </c>
      <c r="B2076" s="90" t="s">
        <v>8794</v>
      </c>
      <c r="C2076" s="90" t="s">
        <v>13</v>
      </c>
      <c r="D2076" s="90" t="str">
        <f>VLOOKUP(Tabela1[[#This Row],[Origem]],'Perguntas 1 a 24'!$J$28:$K$34,2,FALSE)</f>
        <v>Sudeste</v>
      </c>
      <c r="E2076" s="90" t="s">
        <v>13414</v>
      </c>
      <c r="F2076" s="91">
        <v>46720</v>
      </c>
      <c r="G2076" s="92">
        <v>61240</v>
      </c>
      <c r="H2076" s="90" t="s">
        <v>9</v>
      </c>
      <c r="I20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6" s="90" t="s">
        <v>7907</v>
      </c>
    </row>
    <row r="2077" spans="1:11">
      <c r="A2077" s="90" t="s">
        <v>7906</v>
      </c>
      <c r="B2077" s="90" t="s">
        <v>7907</v>
      </c>
      <c r="C2077" s="90" t="s">
        <v>15</v>
      </c>
      <c r="D2077" s="90" t="str">
        <f>VLOOKUP(Tabela1[[#This Row],[Origem]],'Perguntas 1 a 24'!$J$28:$K$34,2,FALSE)</f>
        <v>Sudeste</v>
      </c>
      <c r="E2077" s="90" t="s">
        <v>13415</v>
      </c>
      <c r="F2077" s="91">
        <v>46721</v>
      </c>
      <c r="G2077" s="92">
        <v>61434</v>
      </c>
      <c r="H2077" s="90" t="s">
        <v>11</v>
      </c>
      <c r="I20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7" s="90" t="s">
        <v>5159</v>
      </c>
    </row>
    <row r="2078" spans="1:11">
      <c r="A2078" s="90" t="s">
        <v>5158</v>
      </c>
      <c r="B2078" s="90" t="s">
        <v>5159</v>
      </c>
      <c r="C2078" s="90" t="s">
        <v>6</v>
      </c>
      <c r="D2078" s="90" t="str">
        <f>VLOOKUP(Tabela1[[#This Row],[Origem]],'Perguntas 1 a 24'!$J$28:$K$34,2,FALSE)</f>
        <v>Nordeste</v>
      </c>
      <c r="E2078" s="90" t="s">
        <v>13416</v>
      </c>
      <c r="F2078" s="91">
        <v>46722</v>
      </c>
      <c r="G2078" s="92">
        <v>64496</v>
      </c>
      <c r="H2078" s="90" t="s">
        <v>9</v>
      </c>
      <c r="I20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8" s="90" t="s">
        <v>5581</v>
      </c>
    </row>
    <row r="2079" spans="1:11">
      <c r="A2079" s="90" t="s">
        <v>5580</v>
      </c>
      <c r="B2079" s="90" t="s">
        <v>5581</v>
      </c>
      <c r="C2079" s="90" t="s">
        <v>10</v>
      </c>
      <c r="D2079" s="90" t="str">
        <f>VLOOKUP(Tabela1[[#This Row],[Origem]],'Perguntas 1 a 24'!$J$28:$K$34,2,FALSE)</f>
        <v>Centro-Oeste</v>
      </c>
      <c r="E2079" s="90" t="s">
        <v>13417</v>
      </c>
      <c r="F2079" s="91">
        <v>46722</v>
      </c>
      <c r="G2079" s="92">
        <v>88804</v>
      </c>
      <c r="H2079" s="90" t="s">
        <v>7</v>
      </c>
      <c r="I20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79" s="90" t="s">
        <v>9372</v>
      </c>
    </row>
    <row r="2080" spans="1:11">
      <c r="A2080" s="90" t="s">
        <v>9371</v>
      </c>
      <c r="B2080" s="90" t="s">
        <v>9372</v>
      </c>
      <c r="C2080" s="90" t="s">
        <v>8</v>
      </c>
      <c r="D2080" s="90" t="str">
        <f>VLOOKUP(Tabela1[[#This Row],[Origem]],'Perguntas 1 a 24'!$J$28:$K$34,2,FALSE)</f>
        <v>Nordeste</v>
      </c>
      <c r="E2080" s="90" t="s">
        <v>13418</v>
      </c>
      <c r="F2080" s="91">
        <v>46722</v>
      </c>
      <c r="G2080" s="92">
        <v>55843</v>
      </c>
      <c r="H2080" s="90" t="s">
        <v>7</v>
      </c>
      <c r="I20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80" s="90" t="s">
        <v>10732</v>
      </c>
    </row>
    <row r="2081" spans="1:11">
      <c r="A2081" s="90" t="s">
        <v>10731</v>
      </c>
      <c r="B2081" s="90" t="s">
        <v>10732</v>
      </c>
      <c r="C2081" s="90" t="s">
        <v>10</v>
      </c>
      <c r="D2081" s="90" t="str">
        <f>VLOOKUP(Tabela1[[#This Row],[Origem]],'Perguntas 1 a 24'!$J$28:$K$34,2,FALSE)</f>
        <v>Centro-Oeste</v>
      </c>
      <c r="E2081" s="90" t="s">
        <v>13419</v>
      </c>
      <c r="F2081" s="91">
        <v>46722</v>
      </c>
      <c r="G2081" s="92">
        <v>77469</v>
      </c>
      <c r="H2081" s="90" t="s">
        <v>9</v>
      </c>
      <c r="I20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81" s="90" t="s">
        <v>5343</v>
      </c>
    </row>
    <row r="2082" spans="1:11">
      <c r="A2082" s="90" t="s">
        <v>5342</v>
      </c>
      <c r="B2082" s="90" t="s">
        <v>5343</v>
      </c>
      <c r="C2082" s="90" t="s">
        <v>8</v>
      </c>
      <c r="D2082" s="90" t="str">
        <f>VLOOKUP(Tabela1[[#This Row],[Origem]],'Perguntas 1 a 24'!$J$28:$K$34,2,FALSE)</f>
        <v>Nordeste</v>
      </c>
      <c r="E2082" s="90" t="s">
        <v>13420</v>
      </c>
      <c r="F2082" s="91">
        <v>46723</v>
      </c>
      <c r="G2082" s="92">
        <v>115550</v>
      </c>
      <c r="H2082" s="90" t="s">
        <v>9</v>
      </c>
      <c r="I20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82" s="90" t="s">
        <v>8544</v>
      </c>
    </row>
    <row r="2083" spans="1:11">
      <c r="A2083" s="90" t="s">
        <v>8543</v>
      </c>
      <c r="B2083" s="90" t="s">
        <v>8544</v>
      </c>
      <c r="C2083" s="90" t="s">
        <v>13</v>
      </c>
      <c r="D2083" s="90" t="str">
        <f>VLOOKUP(Tabela1[[#This Row],[Origem]],'Perguntas 1 a 24'!$J$28:$K$34,2,FALSE)</f>
        <v>Sudeste</v>
      </c>
      <c r="E2083" s="90" t="s">
        <v>13421</v>
      </c>
      <c r="F2083" s="91">
        <v>46723</v>
      </c>
      <c r="G2083" s="92">
        <v>77580</v>
      </c>
      <c r="H2083" s="90" t="s">
        <v>14</v>
      </c>
      <c r="I20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83" s="90" t="s">
        <v>9758</v>
      </c>
    </row>
    <row r="2084" spans="1:11">
      <c r="A2084" s="90" t="s">
        <v>9757</v>
      </c>
      <c r="B2084" s="90" t="s">
        <v>9758</v>
      </c>
      <c r="C2084" s="90" t="s">
        <v>12</v>
      </c>
      <c r="D2084" s="90" t="str">
        <f>VLOOKUP(Tabela1[[#This Row],[Origem]],'Perguntas 1 a 24'!$J$28:$K$34,2,FALSE)</f>
        <v>Sudeste</v>
      </c>
      <c r="E2084" s="90" t="s">
        <v>13422</v>
      </c>
      <c r="F2084" s="91">
        <v>46723</v>
      </c>
      <c r="G2084" s="92">
        <v>100195</v>
      </c>
      <c r="H2084" s="90" t="s">
        <v>11</v>
      </c>
      <c r="I20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84" s="90" t="s">
        <v>5903</v>
      </c>
    </row>
    <row r="2085" spans="1:11">
      <c r="A2085" s="90" t="s">
        <v>5902</v>
      </c>
      <c r="B2085" s="90" t="s">
        <v>5903</v>
      </c>
      <c r="C2085" s="90" t="s">
        <v>15</v>
      </c>
      <c r="D2085" s="90" t="str">
        <f>VLOOKUP(Tabela1[[#This Row],[Origem]],'Perguntas 1 a 24'!$J$28:$K$34,2,FALSE)</f>
        <v>Sudeste</v>
      </c>
      <c r="E2085" s="90" t="s">
        <v>13423</v>
      </c>
      <c r="F2085" s="91">
        <v>46725</v>
      </c>
      <c r="G2085" s="92">
        <v>45332</v>
      </c>
      <c r="H2085" s="90" t="s">
        <v>7</v>
      </c>
      <c r="I20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85" s="90" t="s">
        <v>10788</v>
      </c>
    </row>
    <row r="2086" spans="1:11">
      <c r="A2086" s="90" t="s">
        <v>10787</v>
      </c>
      <c r="B2086" s="90" t="s">
        <v>10788</v>
      </c>
      <c r="C2086" s="90" t="s">
        <v>13</v>
      </c>
      <c r="D2086" s="90" t="str">
        <f>VLOOKUP(Tabela1[[#This Row],[Origem]],'Perguntas 1 a 24'!$J$28:$K$34,2,FALSE)</f>
        <v>Sudeste</v>
      </c>
      <c r="E2086" s="90" t="s">
        <v>13424</v>
      </c>
      <c r="F2086" s="91">
        <v>46725</v>
      </c>
      <c r="G2086" s="92">
        <v>46433</v>
      </c>
      <c r="H2086" s="90" t="s">
        <v>11</v>
      </c>
      <c r="I20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86" s="90" t="s">
        <v>6323</v>
      </c>
    </row>
    <row r="2087" spans="1:11">
      <c r="A2087" s="90" t="s">
        <v>6322</v>
      </c>
      <c r="B2087" s="90" t="s">
        <v>6323</v>
      </c>
      <c r="C2087" s="90" t="s">
        <v>16</v>
      </c>
      <c r="D2087" s="90" t="str">
        <f>VLOOKUP(Tabela1[[#This Row],[Origem]],'Perguntas 1 a 24'!$J$28:$K$34,2,FALSE)</f>
        <v>Sudeste</v>
      </c>
      <c r="E2087" s="90" t="s">
        <v>13425</v>
      </c>
      <c r="F2087" s="91">
        <v>46726</v>
      </c>
      <c r="G2087" s="92">
        <v>48965</v>
      </c>
      <c r="H2087" s="90" t="s">
        <v>7</v>
      </c>
      <c r="I20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87" s="90" t="s">
        <v>9566</v>
      </c>
    </row>
    <row r="2088" spans="1:11">
      <c r="A2088" s="90" t="s">
        <v>9565</v>
      </c>
      <c r="B2088" s="90" t="s">
        <v>9566</v>
      </c>
      <c r="C2088" s="90" t="s">
        <v>16</v>
      </c>
      <c r="D2088" s="90" t="str">
        <f>VLOOKUP(Tabela1[[#This Row],[Origem]],'Perguntas 1 a 24'!$J$28:$K$34,2,FALSE)</f>
        <v>Sudeste</v>
      </c>
      <c r="E2088" s="90" t="s">
        <v>13426</v>
      </c>
      <c r="F2088" s="91">
        <v>46726</v>
      </c>
      <c r="G2088" s="92">
        <v>75364</v>
      </c>
      <c r="H2088" s="90" t="s">
        <v>9</v>
      </c>
      <c r="I20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88" s="90" t="s">
        <v>8750</v>
      </c>
    </row>
    <row r="2089" spans="1:11">
      <c r="A2089" s="90" t="s">
        <v>8749</v>
      </c>
      <c r="B2089" s="90" t="s">
        <v>8750</v>
      </c>
      <c r="C2089" s="90" t="s">
        <v>13</v>
      </c>
      <c r="D2089" s="90" t="str">
        <f>VLOOKUP(Tabela1[[#This Row],[Origem]],'Perguntas 1 a 24'!$J$28:$K$34,2,FALSE)</f>
        <v>Sudeste</v>
      </c>
      <c r="E2089" s="90" t="s">
        <v>13427</v>
      </c>
      <c r="F2089" s="91">
        <v>46728</v>
      </c>
      <c r="G2089" s="92">
        <v>90244</v>
      </c>
      <c r="H2089" s="90" t="s">
        <v>9</v>
      </c>
      <c r="I20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89" s="90" t="s">
        <v>10010</v>
      </c>
    </row>
    <row r="2090" spans="1:11">
      <c r="A2090" s="90" t="s">
        <v>10009</v>
      </c>
      <c r="B2090" s="90" t="s">
        <v>10010</v>
      </c>
      <c r="C2090" s="90" t="s">
        <v>12</v>
      </c>
      <c r="D2090" s="90" t="str">
        <f>VLOOKUP(Tabela1[[#This Row],[Origem]],'Perguntas 1 a 24'!$J$28:$K$34,2,FALSE)</f>
        <v>Sudeste</v>
      </c>
      <c r="E2090" s="90" t="s">
        <v>13428</v>
      </c>
      <c r="F2090" s="91">
        <v>46728</v>
      </c>
      <c r="G2090" s="92">
        <v>86447</v>
      </c>
      <c r="H2090" s="90" t="s">
        <v>11</v>
      </c>
      <c r="I20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90" s="90" t="s">
        <v>7729</v>
      </c>
    </row>
    <row r="2091" spans="1:11">
      <c r="A2091" s="90" t="s">
        <v>7728</v>
      </c>
      <c r="B2091" s="90" t="s">
        <v>7729</v>
      </c>
      <c r="C2091" s="90" t="s">
        <v>15</v>
      </c>
      <c r="D2091" s="90" t="str">
        <f>VLOOKUP(Tabela1[[#This Row],[Origem]],'Perguntas 1 a 24'!$J$28:$K$34,2,FALSE)</f>
        <v>Sudeste</v>
      </c>
      <c r="E2091" s="90" t="s">
        <v>13429</v>
      </c>
      <c r="F2091" s="91">
        <v>46729</v>
      </c>
      <c r="G2091" s="92">
        <v>38180</v>
      </c>
      <c r="H2091" s="90" t="s">
        <v>7</v>
      </c>
      <c r="I20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91" s="90" t="s">
        <v>5035</v>
      </c>
    </row>
    <row r="2092" spans="1:11">
      <c r="A2092" s="90" t="s">
        <v>5034</v>
      </c>
      <c r="B2092" s="90" t="s">
        <v>5035</v>
      </c>
      <c r="C2092" s="90" t="s">
        <v>12</v>
      </c>
      <c r="D2092" s="90" t="str">
        <f>VLOOKUP(Tabela1[[#This Row],[Origem]],'Perguntas 1 a 24'!$J$28:$K$34,2,FALSE)</f>
        <v>Sudeste</v>
      </c>
      <c r="E2092" s="90" t="s">
        <v>13430</v>
      </c>
      <c r="F2092" s="91">
        <v>46730</v>
      </c>
      <c r="G2092" s="92">
        <v>79366</v>
      </c>
      <c r="H2092" s="90" t="s">
        <v>14</v>
      </c>
      <c r="I20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92" s="90" t="s">
        <v>5583</v>
      </c>
    </row>
    <row r="2093" spans="1:11">
      <c r="A2093" s="90" t="s">
        <v>5582</v>
      </c>
      <c r="B2093" s="90" t="s">
        <v>5583</v>
      </c>
      <c r="C2093" s="90" t="s">
        <v>6</v>
      </c>
      <c r="D2093" s="90" t="str">
        <f>VLOOKUP(Tabela1[[#This Row],[Origem]],'Perguntas 1 a 24'!$J$28:$K$34,2,FALSE)</f>
        <v>Nordeste</v>
      </c>
      <c r="E2093" s="90" t="s">
        <v>13431</v>
      </c>
      <c r="F2093" s="91">
        <v>46730</v>
      </c>
      <c r="G2093" s="92">
        <v>104762</v>
      </c>
      <c r="H2093" s="90" t="s">
        <v>9</v>
      </c>
      <c r="I20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93" s="90" t="s">
        <v>7945</v>
      </c>
    </row>
    <row r="2094" spans="1:11">
      <c r="A2094" s="90" t="s">
        <v>7944</v>
      </c>
      <c r="B2094" s="90" t="s">
        <v>7945</v>
      </c>
      <c r="C2094" s="90" t="s">
        <v>15</v>
      </c>
      <c r="D2094" s="90" t="str">
        <f>VLOOKUP(Tabela1[[#This Row],[Origem]],'Perguntas 1 a 24'!$J$28:$K$34,2,FALSE)</f>
        <v>Sudeste</v>
      </c>
      <c r="E2094" s="90" t="s">
        <v>13432</v>
      </c>
      <c r="F2094" s="91">
        <v>46730</v>
      </c>
      <c r="G2094" s="92">
        <v>43771</v>
      </c>
      <c r="H2094" s="90" t="s">
        <v>14</v>
      </c>
      <c r="I20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94" s="90" t="s">
        <v>6719</v>
      </c>
    </row>
    <row r="2095" spans="1:11">
      <c r="A2095" s="90" t="s">
        <v>6718</v>
      </c>
      <c r="B2095" s="90" t="s">
        <v>6719</v>
      </c>
      <c r="C2095" s="90" t="s">
        <v>12</v>
      </c>
      <c r="D2095" s="90" t="str">
        <f>VLOOKUP(Tabela1[[#This Row],[Origem]],'Perguntas 1 a 24'!$J$28:$K$34,2,FALSE)</f>
        <v>Sudeste</v>
      </c>
      <c r="E2095" s="90" t="s">
        <v>13433</v>
      </c>
      <c r="F2095" s="91">
        <v>46731</v>
      </c>
      <c r="G2095" s="92">
        <v>88793</v>
      </c>
      <c r="H2095" s="90" t="s">
        <v>14</v>
      </c>
      <c r="I20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95" s="90" t="s">
        <v>7041</v>
      </c>
    </row>
    <row r="2096" spans="1:11">
      <c r="A2096" s="90" t="s">
        <v>7040</v>
      </c>
      <c r="B2096" s="90" t="s">
        <v>7041</v>
      </c>
      <c r="C2096" s="90" t="s">
        <v>6</v>
      </c>
      <c r="D2096" s="90" t="str">
        <f>VLOOKUP(Tabela1[[#This Row],[Origem]],'Perguntas 1 a 24'!$J$28:$K$34,2,FALSE)</f>
        <v>Nordeste</v>
      </c>
      <c r="E2096" s="90" t="s">
        <v>13434</v>
      </c>
      <c r="F2096" s="91">
        <v>46731</v>
      </c>
      <c r="G2096" s="92">
        <v>108236</v>
      </c>
      <c r="H2096" s="90" t="s">
        <v>7</v>
      </c>
      <c r="I20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96" s="90" t="s">
        <v>10110</v>
      </c>
    </row>
    <row r="2097" spans="1:11">
      <c r="A2097" s="90" t="s">
        <v>10109</v>
      </c>
      <c r="B2097" s="90" t="s">
        <v>10110</v>
      </c>
      <c r="C2097" s="90" t="s">
        <v>13</v>
      </c>
      <c r="D2097" s="90" t="str">
        <f>VLOOKUP(Tabela1[[#This Row],[Origem]],'Perguntas 1 a 24'!$J$28:$K$34,2,FALSE)</f>
        <v>Sudeste</v>
      </c>
      <c r="E2097" s="90" t="s">
        <v>13435</v>
      </c>
      <c r="F2097" s="91">
        <v>46731</v>
      </c>
      <c r="G2097" s="92">
        <v>99697</v>
      </c>
      <c r="H2097" s="90" t="s">
        <v>9</v>
      </c>
      <c r="I20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097" s="90" t="s">
        <v>3853</v>
      </c>
    </row>
    <row r="2098" spans="1:11">
      <c r="A2098" s="90" t="s">
        <v>3852</v>
      </c>
      <c r="B2098" s="90" t="s">
        <v>3853</v>
      </c>
      <c r="C2098" s="90" t="s">
        <v>8</v>
      </c>
      <c r="D2098" s="90" t="str">
        <f>VLOOKUP(Tabela1[[#This Row],[Origem]],'Perguntas 1 a 24'!$J$28:$K$34,2,FALSE)</f>
        <v>Nordeste</v>
      </c>
      <c r="E2098" s="90" t="s">
        <v>13436</v>
      </c>
      <c r="F2098" s="91">
        <v>46732</v>
      </c>
      <c r="G2098" s="92">
        <v>37882</v>
      </c>
      <c r="H2098" s="90" t="s">
        <v>7</v>
      </c>
      <c r="I20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98" s="90" t="s">
        <v>6611</v>
      </c>
    </row>
    <row r="2099" spans="1:11">
      <c r="A2099" s="90" t="s">
        <v>6610</v>
      </c>
      <c r="B2099" s="90" t="s">
        <v>6611</v>
      </c>
      <c r="C2099" s="90" t="s">
        <v>10</v>
      </c>
      <c r="D2099" s="90" t="str">
        <f>VLOOKUP(Tabela1[[#This Row],[Origem]],'Perguntas 1 a 24'!$J$28:$K$34,2,FALSE)</f>
        <v>Centro-Oeste</v>
      </c>
      <c r="E2099" s="90" t="s">
        <v>13437</v>
      </c>
      <c r="F2099" s="91">
        <v>46735</v>
      </c>
      <c r="G2099" s="92">
        <v>48430</v>
      </c>
      <c r="H2099" s="90" t="s">
        <v>11</v>
      </c>
      <c r="I20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099" s="90" t="s">
        <v>9646</v>
      </c>
    </row>
    <row r="2100" spans="1:11">
      <c r="A2100" s="90" t="s">
        <v>9645</v>
      </c>
      <c r="B2100" s="90" t="s">
        <v>9646</v>
      </c>
      <c r="C2100" s="90" t="s">
        <v>15</v>
      </c>
      <c r="D2100" s="90" t="str">
        <f>VLOOKUP(Tabela1[[#This Row],[Origem]],'Perguntas 1 a 24'!$J$28:$K$34,2,FALSE)</f>
        <v>Sudeste</v>
      </c>
      <c r="E2100" s="90" t="s">
        <v>13438</v>
      </c>
      <c r="F2100" s="91">
        <v>46735</v>
      </c>
      <c r="G2100" s="92">
        <v>43681</v>
      </c>
      <c r="H2100" s="90" t="s">
        <v>7</v>
      </c>
      <c r="I21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00" s="90" t="s">
        <v>6449</v>
      </c>
    </row>
    <row r="2101" spans="1:11">
      <c r="A2101" s="90" t="s">
        <v>6448</v>
      </c>
      <c r="B2101" s="90" t="s">
        <v>6449</v>
      </c>
      <c r="C2101" s="90" t="s">
        <v>8</v>
      </c>
      <c r="D2101" s="90" t="str">
        <f>VLOOKUP(Tabela1[[#This Row],[Origem]],'Perguntas 1 a 24'!$J$28:$K$34,2,FALSE)</f>
        <v>Nordeste</v>
      </c>
      <c r="E2101" s="90" t="s">
        <v>13439</v>
      </c>
      <c r="F2101" s="91">
        <v>46737</v>
      </c>
      <c r="G2101" s="92">
        <v>46982</v>
      </c>
      <c r="H2101" s="90" t="s">
        <v>7</v>
      </c>
      <c r="I21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01" s="90" t="s">
        <v>8984</v>
      </c>
    </row>
    <row r="2102" spans="1:11">
      <c r="A2102" s="90" t="s">
        <v>8983</v>
      </c>
      <c r="B2102" s="90" t="s">
        <v>8984</v>
      </c>
      <c r="C2102" s="90" t="s">
        <v>10</v>
      </c>
      <c r="D2102" s="90" t="str">
        <f>VLOOKUP(Tabela1[[#This Row],[Origem]],'Perguntas 1 a 24'!$J$28:$K$34,2,FALSE)</f>
        <v>Centro-Oeste</v>
      </c>
      <c r="E2102" s="90" t="s">
        <v>13440</v>
      </c>
      <c r="F2102" s="91">
        <v>46737</v>
      </c>
      <c r="G2102" s="92">
        <v>38939</v>
      </c>
      <c r="H2102" s="90" t="s">
        <v>7</v>
      </c>
      <c r="I21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02" s="90" t="s">
        <v>10592</v>
      </c>
    </row>
    <row r="2103" spans="1:11">
      <c r="A2103" s="90" t="s">
        <v>10591</v>
      </c>
      <c r="B2103" s="90" t="s">
        <v>10592</v>
      </c>
      <c r="C2103" s="90" t="s">
        <v>10</v>
      </c>
      <c r="D2103" s="90" t="str">
        <f>VLOOKUP(Tabela1[[#This Row],[Origem]],'Perguntas 1 a 24'!$J$28:$K$34,2,FALSE)</f>
        <v>Centro-Oeste</v>
      </c>
      <c r="E2103" s="90" t="s">
        <v>13441</v>
      </c>
      <c r="F2103" s="91">
        <v>46737</v>
      </c>
      <c r="G2103" s="92">
        <v>46478</v>
      </c>
      <c r="H2103" s="90" t="s">
        <v>9</v>
      </c>
      <c r="I21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03" s="90" t="s">
        <v>9124</v>
      </c>
    </row>
    <row r="2104" spans="1:11">
      <c r="A2104" s="90" t="s">
        <v>9123</v>
      </c>
      <c r="B2104" s="90" t="s">
        <v>9124</v>
      </c>
      <c r="C2104" s="90" t="s">
        <v>6</v>
      </c>
      <c r="D2104" s="90" t="str">
        <f>VLOOKUP(Tabela1[[#This Row],[Origem]],'Perguntas 1 a 24'!$J$28:$K$34,2,FALSE)</f>
        <v>Nordeste</v>
      </c>
      <c r="E2104" s="90" t="s">
        <v>13442</v>
      </c>
      <c r="F2104" s="91">
        <v>46738</v>
      </c>
      <c r="G2104" s="92">
        <v>116890</v>
      </c>
      <c r="H2104" s="90" t="s">
        <v>9</v>
      </c>
      <c r="I21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04" s="90" t="s">
        <v>8878</v>
      </c>
    </row>
    <row r="2105" spans="1:11">
      <c r="A2105" s="90" t="s">
        <v>8877</v>
      </c>
      <c r="B2105" s="90" t="s">
        <v>8878</v>
      </c>
      <c r="C2105" s="90" t="s">
        <v>16</v>
      </c>
      <c r="D2105" s="90" t="str">
        <f>VLOOKUP(Tabela1[[#This Row],[Origem]],'Perguntas 1 a 24'!$J$28:$K$34,2,FALSE)</f>
        <v>Sudeste</v>
      </c>
      <c r="E2105" s="90" t="s">
        <v>13443</v>
      </c>
      <c r="F2105" s="91">
        <v>46739</v>
      </c>
      <c r="G2105" s="92">
        <v>41242</v>
      </c>
      <c r="H2105" s="90" t="s">
        <v>7</v>
      </c>
      <c r="I21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05" s="90" t="s">
        <v>10694</v>
      </c>
    </row>
    <row r="2106" spans="1:11">
      <c r="A2106" s="90" t="s">
        <v>10693</v>
      </c>
      <c r="B2106" s="90" t="s">
        <v>10694</v>
      </c>
      <c r="C2106" s="90" t="s">
        <v>15</v>
      </c>
      <c r="D2106" s="90" t="str">
        <f>VLOOKUP(Tabela1[[#This Row],[Origem]],'Perguntas 1 a 24'!$J$28:$K$34,2,FALSE)</f>
        <v>Sudeste</v>
      </c>
      <c r="E2106" s="90" t="s">
        <v>13444</v>
      </c>
      <c r="F2106" s="91">
        <v>46739</v>
      </c>
      <c r="G2106" s="92">
        <v>32090</v>
      </c>
      <c r="H2106" s="90" t="s">
        <v>9</v>
      </c>
      <c r="I21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06" s="90" t="s">
        <v>7077</v>
      </c>
    </row>
    <row r="2107" spans="1:11">
      <c r="A2107" s="90" t="s">
        <v>7076</v>
      </c>
      <c r="B2107" s="90" t="s">
        <v>7077</v>
      </c>
      <c r="C2107" s="90" t="s">
        <v>8</v>
      </c>
      <c r="D2107" s="90" t="str">
        <f>VLOOKUP(Tabela1[[#This Row],[Origem]],'Perguntas 1 a 24'!$J$28:$K$34,2,FALSE)</f>
        <v>Nordeste</v>
      </c>
      <c r="E2107" s="90" t="s">
        <v>13445</v>
      </c>
      <c r="F2107" s="91">
        <v>46740</v>
      </c>
      <c r="G2107" s="92">
        <v>43943</v>
      </c>
      <c r="H2107" s="90" t="s">
        <v>9</v>
      </c>
      <c r="I21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07" s="90" t="s">
        <v>5137</v>
      </c>
    </row>
    <row r="2108" spans="1:11">
      <c r="A2108" s="90" t="s">
        <v>5136</v>
      </c>
      <c r="B2108" s="90" t="s">
        <v>5137</v>
      </c>
      <c r="C2108" s="90" t="s">
        <v>15</v>
      </c>
      <c r="D2108" s="90" t="str">
        <f>VLOOKUP(Tabela1[[#This Row],[Origem]],'Perguntas 1 a 24'!$J$28:$K$34,2,FALSE)</f>
        <v>Sudeste</v>
      </c>
      <c r="E2108" s="90" t="s">
        <v>13446</v>
      </c>
      <c r="F2108" s="91">
        <v>46742</v>
      </c>
      <c r="G2108" s="92">
        <v>77613</v>
      </c>
      <c r="H2108" s="90" t="s">
        <v>7</v>
      </c>
      <c r="I21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08" s="90" t="s">
        <v>6865</v>
      </c>
    </row>
    <row r="2109" spans="1:11">
      <c r="A2109" s="90" t="s">
        <v>6864</v>
      </c>
      <c r="B2109" s="90" t="s">
        <v>6865</v>
      </c>
      <c r="C2109" s="90" t="s">
        <v>12</v>
      </c>
      <c r="D2109" s="90" t="str">
        <f>VLOOKUP(Tabela1[[#This Row],[Origem]],'Perguntas 1 a 24'!$J$28:$K$34,2,FALSE)</f>
        <v>Sudeste</v>
      </c>
      <c r="E2109" s="90" t="s">
        <v>13447</v>
      </c>
      <c r="F2109" s="91">
        <v>46743</v>
      </c>
      <c r="G2109" s="92">
        <v>108997</v>
      </c>
      <c r="H2109" s="90" t="s">
        <v>11</v>
      </c>
      <c r="I21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09" s="90" t="s">
        <v>9622</v>
      </c>
    </row>
    <row r="2110" spans="1:11">
      <c r="A2110" s="90" t="s">
        <v>9621</v>
      </c>
      <c r="B2110" s="90" t="s">
        <v>9622</v>
      </c>
      <c r="C2110" s="90" t="s">
        <v>12</v>
      </c>
      <c r="D2110" s="90" t="str">
        <f>VLOOKUP(Tabela1[[#This Row],[Origem]],'Perguntas 1 a 24'!$J$28:$K$34,2,FALSE)</f>
        <v>Sudeste</v>
      </c>
      <c r="E2110" s="90" t="s">
        <v>13448</v>
      </c>
      <c r="F2110" s="91">
        <v>46743</v>
      </c>
      <c r="G2110" s="92">
        <v>83287</v>
      </c>
      <c r="H2110" s="90" t="s">
        <v>9</v>
      </c>
      <c r="I21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10" s="90" t="s">
        <v>8487</v>
      </c>
    </row>
    <row r="2111" spans="1:11">
      <c r="A2111" s="90" t="s">
        <v>8486</v>
      </c>
      <c r="B2111" s="90" t="s">
        <v>8487</v>
      </c>
      <c r="C2111" s="90" t="s">
        <v>10</v>
      </c>
      <c r="D2111" s="90" t="str">
        <f>VLOOKUP(Tabela1[[#This Row],[Origem]],'Perguntas 1 a 24'!$J$28:$K$34,2,FALSE)</f>
        <v>Centro-Oeste</v>
      </c>
      <c r="E2111" s="90" t="s">
        <v>13449</v>
      </c>
      <c r="F2111" s="91">
        <v>46745</v>
      </c>
      <c r="G2111" s="92">
        <v>74043</v>
      </c>
      <c r="H2111" s="90" t="s">
        <v>11</v>
      </c>
      <c r="I21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11" s="90" t="s">
        <v>8606</v>
      </c>
    </row>
    <row r="2112" spans="1:11">
      <c r="A2112" s="90" t="s">
        <v>8605</v>
      </c>
      <c r="B2112" s="90" t="s">
        <v>8606</v>
      </c>
      <c r="C2112" s="90" t="s">
        <v>8</v>
      </c>
      <c r="D2112" s="90" t="str">
        <f>VLOOKUP(Tabela1[[#This Row],[Origem]],'Perguntas 1 a 24'!$J$28:$K$34,2,FALSE)</f>
        <v>Nordeste</v>
      </c>
      <c r="E2112" s="90" t="s">
        <v>13450</v>
      </c>
      <c r="F2112" s="91">
        <v>46745</v>
      </c>
      <c r="G2112" s="92">
        <v>84237</v>
      </c>
      <c r="H2112" s="90" t="s">
        <v>9</v>
      </c>
      <c r="I21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12" s="90" t="s">
        <v>3781</v>
      </c>
    </row>
    <row r="2113" spans="1:11">
      <c r="A2113" s="90" t="s">
        <v>3780</v>
      </c>
      <c r="B2113" s="90" t="s">
        <v>3781</v>
      </c>
      <c r="C2113" s="90" t="s">
        <v>8</v>
      </c>
      <c r="D2113" s="90" t="str">
        <f>VLOOKUP(Tabela1[[#This Row],[Origem]],'Perguntas 1 a 24'!$J$28:$K$34,2,FALSE)</f>
        <v>Nordeste</v>
      </c>
      <c r="E2113" s="90" t="s">
        <v>13451</v>
      </c>
      <c r="F2113" s="91">
        <v>46746</v>
      </c>
      <c r="G2113" s="92">
        <v>94165</v>
      </c>
      <c r="H2113" s="90" t="s">
        <v>9</v>
      </c>
      <c r="I21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13" s="90" t="s">
        <v>10316</v>
      </c>
    </row>
    <row r="2114" spans="1:11">
      <c r="A2114" s="90" t="s">
        <v>10315</v>
      </c>
      <c r="B2114" s="90" t="s">
        <v>10316</v>
      </c>
      <c r="C2114" s="90" t="s">
        <v>15</v>
      </c>
      <c r="D2114" s="90" t="str">
        <f>VLOOKUP(Tabela1[[#This Row],[Origem]],'Perguntas 1 a 24'!$J$28:$K$34,2,FALSE)</f>
        <v>Sudeste</v>
      </c>
      <c r="E2114" s="90" t="s">
        <v>13452</v>
      </c>
      <c r="F2114" s="91">
        <v>46746</v>
      </c>
      <c r="G2114" s="92">
        <v>38778</v>
      </c>
      <c r="H2114" s="90" t="s">
        <v>11</v>
      </c>
      <c r="I21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14" s="90" t="s">
        <v>8572</v>
      </c>
    </row>
    <row r="2115" spans="1:11">
      <c r="A2115" s="90" t="s">
        <v>8571</v>
      </c>
      <c r="B2115" s="90" t="s">
        <v>8572</v>
      </c>
      <c r="C2115" s="90" t="s">
        <v>8</v>
      </c>
      <c r="D2115" s="90" t="str">
        <f>VLOOKUP(Tabela1[[#This Row],[Origem]],'Perguntas 1 a 24'!$J$28:$K$34,2,FALSE)</f>
        <v>Nordeste</v>
      </c>
      <c r="E2115" s="90" t="s">
        <v>13453</v>
      </c>
      <c r="F2115" s="91">
        <v>46747</v>
      </c>
      <c r="G2115" s="92">
        <v>23320</v>
      </c>
      <c r="H2115" s="90" t="s">
        <v>9</v>
      </c>
      <c r="I21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15" s="90" t="s">
        <v>10138</v>
      </c>
    </row>
    <row r="2116" spans="1:11">
      <c r="A2116" s="90" t="s">
        <v>10137</v>
      </c>
      <c r="B2116" s="90" t="s">
        <v>10138</v>
      </c>
      <c r="C2116" s="90" t="s">
        <v>16</v>
      </c>
      <c r="D2116" s="90" t="str">
        <f>VLOOKUP(Tabela1[[#This Row],[Origem]],'Perguntas 1 a 24'!$J$28:$K$34,2,FALSE)</f>
        <v>Sudeste</v>
      </c>
      <c r="E2116" s="90" t="s">
        <v>13454</v>
      </c>
      <c r="F2116" s="91">
        <v>46747</v>
      </c>
      <c r="G2116" s="92">
        <v>105842</v>
      </c>
      <c r="H2116" s="90" t="s">
        <v>14</v>
      </c>
      <c r="I21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16" s="90" t="s">
        <v>5027</v>
      </c>
    </row>
    <row r="2117" spans="1:11">
      <c r="A2117" s="90" t="s">
        <v>5026</v>
      </c>
      <c r="B2117" s="90" t="s">
        <v>5027</v>
      </c>
      <c r="C2117" s="90" t="s">
        <v>8</v>
      </c>
      <c r="D2117" s="90" t="str">
        <f>VLOOKUP(Tabela1[[#This Row],[Origem]],'Perguntas 1 a 24'!$J$28:$K$34,2,FALSE)</f>
        <v>Nordeste</v>
      </c>
      <c r="E2117" s="90" t="s">
        <v>13455</v>
      </c>
      <c r="F2117" s="91">
        <v>46748</v>
      </c>
      <c r="G2117" s="92">
        <v>55296</v>
      </c>
      <c r="H2117" s="90" t="s">
        <v>14</v>
      </c>
      <c r="I21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17" s="90" t="s">
        <v>9516</v>
      </c>
    </row>
    <row r="2118" spans="1:11">
      <c r="A2118" s="90" t="s">
        <v>9515</v>
      </c>
      <c r="B2118" s="90" t="s">
        <v>9516</v>
      </c>
      <c r="C2118" s="90" t="s">
        <v>15</v>
      </c>
      <c r="D2118" s="90" t="str">
        <f>VLOOKUP(Tabela1[[#This Row],[Origem]],'Perguntas 1 a 24'!$J$28:$K$34,2,FALSE)</f>
        <v>Sudeste</v>
      </c>
      <c r="E2118" s="90" t="s">
        <v>13456</v>
      </c>
      <c r="F2118" s="91">
        <v>46748</v>
      </c>
      <c r="G2118" s="92">
        <v>109110</v>
      </c>
      <c r="H2118" s="90" t="s">
        <v>14</v>
      </c>
      <c r="I21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18" s="90" t="s">
        <v>10802</v>
      </c>
    </row>
    <row r="2119" spans="1:11">
      <c r="A2119" s="90" t="s">
        <v>10801</v>
      </c>
      <c r="B2119" s="90" t="s">
        <v>10802</v>
      </c>
      <c r="C2119" s="90" t="s">
        <v>13</v>
      </c>
      <c r="D2119" s="90" t="str">
        <f>VLOOKUP(Tabela1[[#This Row],[Origem]],'Perguntas 1 a 24'!$J$28:$K$34,2,FALSE)</f>
        <v>Sudeste</v>
      </c>
      <c r="E2119" s="90" t="s">
        <v>13457</v>
      </c>
      <c r="F2119" s="91">
        <v>46749</v>
      </c>
      <c r="G2119" s="92">
        <v>90763</v>
      </c>
      <c r="H2119" s="90" t="s">
        <v>7</v>
      </c>
      <c r="I21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19" s="90" t="s">
        <v>4775</v>
      </c>
    </row>
    <row r="2120" spans="1:11">
      <c r="A2120" s="90" t="s">
        <v>4774</v>
      </c>
      <c r="B2120" s="90" t="s">
        <v>4775</v>
      </c>
      <c r="C2120" s="90" t="s">
        <v>15</v>
      </c>
      <c r="D2120" s="90" t="str">
        <f>VLOOKUP(Tabela1[[#This Row],[Origem]],'Perguntas 1 a 24'!$J$28:$K$34,2,FALSE)</f>
        <v>Sudeste</v>
      </c>
      <c r="E2120" s="90" t="s">
        <v>13458</v>
      </c>
      <c r="F2120" s="91">
        <v>46750</v>
      </c>
      <c r="G2120" s="92">
        <v>21455</v>
      </c>
      <c r="H2120" s="90" t="s">
        <v>7</v>
      </c>
      <c r="I21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20" s="90" t="s">
        <v>6677</v>
      </c>
    </row>
    <row r="2121" spans="1:11">
      <c r="A2121" s="90" t="s">
        <v>6676</v>
      </c>
      <c r="B2121" s="90" t="s">
        <v>6677</v>
      </c>
      <c r="C2121" s="90" t="s">
        <v>13</v>
      </c>
      <c r="D2121" s="90" t="str">
        <f>VLOOKUP(Tabela1[[#This Row],[Origem]],'Perguntas 1 a 24'!$J$28:$K$34,2,FALSE)</f>
        <v>Sudeste</v>
      </c>
      <c r="E2121" s="90" t="s">
        <v>13459</v>
      </c>
      <c r="F2121" s="91">
        <v>46750</v>
      </c>
      <c r="G2121" s="92">
        <v>48386</v>
      </c>
      <c r="H2121" s="90" t="s">
        <v>11</v>
      </c>
      <c r="I21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21" s="90" t="s">
        <v>4037</v>
      </c>
    </row>
    <row r="2122" spans="1:11">
      <c r="A2122" s="90" t="s">
        <v>4036</v>
      </c>
      <c r="B2122" s="90" t="s">
        <v>4037</v>
      </c>
      <c r="C2122" s="90" t="s">
        <v>15</v>
      </c>
      <c r="D2122" s="90" t="str">
        <f>VLOOKUP(Tabela1[[#This Row],[Origem]],'Perguntas 1 a 24'!$J$28:$K$34,2,FALSE)</f>
        <v>Sudeste</v>
      </c>
      <c r="E2122" s="90" t="s">
        <v>13460</v>
      </c>
      <c r="F2122" s="91">
        <v>46751</v>
      </c>
      <c r="G2122" s="92">
        <v>94759</v>
      </c>
      <c r="H2122" s="90" t="s">
        <v>9</v>
      </c>
      <c r="I21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22" s="90" t="s">
        <v>4803</v>
      </c>
    </row>
    <row r="2123" spans="1:11">
      <c r="A2123" s="90" t="s">
        <v>4802</v>
      </c>
      <c r="B2123" s="90" t="s">
        <v>4803</v>
      </c>
      <c r="C2123" s="90" t="s">
        <v>6</v>
      </c>
      <c r="D2123" s="90" t="str">
        <f>VLOOKUP(Tabela1[[#This Row],[Origem]],'Perguntas 1 a 24'!$J$28:$K$34,2,FALSE)</f>
        <v>Nordeste</v>
      </c>
      <c r="E2123" s="90" t="s">
        <v>13461</v>
      </c>
      <c r="F2123" s="91">
        <v>46751</v>
      </c>
      <c r="G2123" s="92">
        <v>99315</v>
      </c>
      <c r="H2123" s="90" t="s">
        <v>7</v>
      </c>
      <c r="I21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23" s="90" t="s">
        <v>6789</v>
      </c>
    </row>
    <row r="2124" spans="1:11">
      <c r="A2124" s="90" t="s">
        <v>6788</v>
      </c>
      <c r="B2124" s="90" t="s">
        <v>6789</v>
      </c>
      <c r="C2124" s="90" t="s">
        <v>16</v>
      </c>
      <c r="D2124" s="90" t="str">
        <f>VLOOKUP(Tabela1[[#This Row],[Origem]],'Perguntas 1 a 24'!$J$28:$K$34,2,FALSE)</f>
        <v>Sudeste</v>
      </c>
      <c r="E2124" s="90" t="s">
        <v>13462</v>
      </c>
      <c r="F2124" s="91">
        <v>46751</v>
      </c>
      <c r="G2124" s="92">
        <v>34353</v>
      </c>
      <c r="H2124" s="90" t="s">
        <v>14</v>
      </c>
      <c r="I21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24" s="90" t="s">
        <v>7495</v>
      </c>
    </row>
    <row r="2125" spans="1:11">
      <c r="A2125" s="90" t="s">
        <v>7494</v>
      </c>
      <c r="B2125" s="90" t="s">
        <v>7495</v>
      </c>
      <c r="C2125" s="90" t="s">
        <v>6</v>
      </c>
      <c r="D2125" s="90" t="str">
        <f>VLOOKUP(Tabela1[[#This Row],[Origem]],'Perguntas 1 a 24'!$J$28:$K$34,2,FALSE)</f>
        <v>Nordeste</v>
      </c>
      <c r="E2125" s="90" t="s">
        <v>13463</v>
      </c>
      <c r="F2125" s="91">
        <v>46751</v>
      </c>
      <c r="G2125" s="92">
        <v>77081</v>
      </c>
      <c r="H2125" s="90" t="s">
        <v>14</v>
      </c>
      <c r="I21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25" s="90" t="s">
        <v>7609</v>
      </c>
    </row>
    <row r="2126" spans="1:11">
      <c r="A2126" s="90" t="s">
        <v>7608</v>
      </c>
      <c r="B2126" s="90" t="s">
        <v>7609</v>
      </c>
      <c r="C2126" s="90" t="s">
        <v>10</v>
      </c>
      <c r="D2126" s="90" t="str">
        <f>VLOOKUP(Tabela1[[#This Row],[Origem]],'Perguntas 1 a 24'!$J$28:$K$34,2,FALSE)</f>
        <v>Centro-Oeste</v>
      </c>
      <c r="E2126" s="90" t="s">
        <v>13464</v>
      </c>
      <c r="F2126" s="91">
        <v>46751</v>
      </c>
      <c r="G2126" s="92">
        <v>27137</v>
      </c>
      <c r="H2126" s="90" t="s">
        <v>11</v>
      </c>
      <c r="I21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26" s="90" t="s">
        <v>8812</v>
      </c>
    </row>
    <row r="2127" spans="1:11">
      <c r="A2127" s="90" t="s">
        <v>8811</v>
      </c>
      <c r="B2127" s="90" t="s">
        <v>8812</v>
      </c>
      <c r="C2127" s="90" t="s">
        <v>13</v>
      </c>
      <c r="D2127" s="90" t="str">
        <f>VLOOKUP(Tabela1[[#This Row],[Origem]],'Perguntas 1 a 24'!$J$28:$K$34,2,FALSE)</f>
        <v>Sudeste</v>
      </c>
      <c r="E2127" s="90" t="s">
        <v>13465</v>
      </c>
      <c r="F2127" s="91">
        <v>46751</v>
      </c>
      <c r="G2127" s="92">
        <v>90512</v>
      </c>
      <c r="H2127" s="90" t="s">
        <v>7</v>
      </c>
      <c r="I21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27" s="90" t="s">
        <v>8862</v>
      </c>
    </row>
    <row r="2128" spans="1:11">
      <c r="A2128" s="90" t="s">
        <v>8861</v>
      </c>
      <c r="B2128" s="90" t="s">
        <v>8862</v>
      </c>
      <c r="C2128" s="90" t="s">
        <v>8</v>
      </c>
      <c r="D2128" s="90" t="str">
        <f>VLOOKUP(Tabela1[[#This Row],[Origem]],'Perguntas 1 a 24'!$J$28:$K$34,2,FALSE)</f>
        <v>Nordeste</v>
      </c>
      <c r="E2128" s="90" t="s">
        <v>13466</v>
      </c>
      <c r="F2128" s="91">
        <v>46751</v>
      </c>
      <c r="G2128" s="92">
        <v>89386</v>
      </c>
      <c r="H2128" s="90" t="s">
        <v>11</v>
      </c>
      <c r="I21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28" s="90" t="s">
        <v>4571</v>
      </c>
    </row>
    <row r="2129" spans="1:11">
      <c r="A2129" s="90" t="s">
        <v>4570</v>
      </c>
      <c r="B2129" s="90" t="s">
        <v>4571</v>
      </c>
      <c r="C2129" s="90" t="s">
        <v>13</v>
      </c>
      <c r="D2129" s="90" t="str">
        <f>VLOOKUP(Tabela1[[#This Row],[Origem]],'Perguntas 1 a 24'!$J$28:$K$34,2,FALSE)</f>
        <v>Sudeste</v>
      </c>
      <c r="E2129" s="90" t="s">
        <v>13467</v>
      </c>
      <c r="F2129" s="91">
        <v>46752</v>
      </c>
      <c r="G2129" s="92">
        <v>54160</v>
      </c>
      <c r="H2129" s="90" t="s">
        <v>7</v>
      </c>
      <c r="I21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29" s="90" t="s">
        <v>8167</v>
      </c>
    </row>
    <row r="2130" spans="1:11">
      <c r="A2130" s="90" t="s">
        <v>8166</v>
      </c>
      <c r="B2130" s="90" t="s">
        <v>8167</v>
      </c>
      <c r="C2130" s="90" t="s">
        <v>10</v>
      </c>
      <c r="D2130" s="90" t="str">
        <f>VLOOKUP(Tabela1[[#This Row],[Origem]],'Perguntas 1 a 24'!$J$28:$K$34,2,FALSE)</f>
        <v>Centro-Oeste</v>
      </c>
      <c r="E2130" s="90" t="s">
        <v>13468</v>
      </c>
      <c r="F2130" s="91">
        <v>46752</v>
      </c>
      <c r="G2130" s="92">
        <v>60593</v>
      </c>
      <c r="H2130" s="90" t="s">
        <v>11</v>
      </c>
      <c r="I21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0" s="90" t="s">
        <v>3765</v>
      </c>
    </row>
    <row r="2131" spans="1:11">
      <c r="A2131" s="90" t="s">
        <v>3764</v>
      </c>
      <c r="B2131" s="90" t="s">
        <v>3765</v>
      </c>
      <c r="C2131" s="90" t="s">
        <v>8</v>
      </c>
      <c r="D2131" s="90" t="str">
        <f>VLOOKUP(Tabela1[[#This Row],[Origem]],'Perguntas 1 a 24'!$J$28:$K$34,2,FALSE)</f>
        <v>Nordeste</v>
      </c>
      <c r="E2131" s="90" t="s">
        <v>13469</v>
      </c>
      <c r="F2131" s="91">
        <v>46753</v>
      </c>
      <c r="G2131" s="92">
        <v>117823</v>
      </c>
      <c r="H2131" s="90" t="s">
        <v>14</v>
      </c>
      <c r="I21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1" s="90" t="s">
        <v>9320</v>
      </c>
    </row>
    <row r="2132" spans="1:11">
      <c r="A2132" s="90" t="s">
        <v>9319</v>
      </c>
      <c r="B2132" s="90" t="s">
        <v>9320</v>
      </c>
      <c r="C2132" s="90" t="s">
        <v>15</v>
      </c>
      <c r="D2132" s="90" t="str">
        <f>VLOOKUP(Tabela1[[#This Row],[Origem]],'Perguntas 1 a 24'!$J$28:$K$34,2,FALSE)</f>
        <v>Sudeste</v>
      </c>
      <c r="E2132" s="90" t="s">
        <v>13470</v>
      </c>
      <c r="F2132" s="91">
        <v>46753</v>
      </c>
      <c r="G2132" s="92">
        <v>92344</v>
      </c>
      <c r="H2132" s="90" t="s">
        <v>7</v>
      </c>
      <c r="I21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2" s="90" t="s">
        <v>9640</v>
      </c>
    </row>
    <row r="2133" spans="1:11">
      <c r="A2133" s="90" t="s">
        <v>9639</v>
      </c>
      <c r="B2133" s="90" t="s">
        <v>9640</v>
      </c>
      <c r="C2133" s="90" t="s">
        <v>6</v>
      </c>
      <c r="D2133" s="90" t="str">
        <f>VLOOKUP(Tabela1[[#This Row],[Origem]],'Perguntas 1 a 24'!$J$28:$K$34,2,FALSE)</f>
        <v>Nordeste</v>
      </c>
      <c r="E2133" s="90" t="s">
        <v>13471</v>
      </c>
      <c r="F2133" s="91">
        <v>46753</v>
      </c>
      <c r="G2133" s="92">
        <v>80334</v>
      </c>
      <c r="H2133" s="90" t="s">
        <v>11</v>
      </c>
      <c r="I21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3" s="90" t="s">
        <v>3991</v>
      </c>
    </row>
    <row r="2134" spans="1:11">
      <c r="A2134" s="90" t="s">
        <v>3990</v>
      </c>
      <c r="B2134" s="90" t="s">
        <v>3991</v>
      </c>
      <c r="C2134" s="90" t="s">
        <v>8</v>
      </c>
      <c r="D2134" s="90" t="str">
        <f>VLOOKUP(Tabela1[[#This Row],[Origem]],'Perguntas 1 a 24'!$J$28:$K$34,2,FALSE)</f>
        <v>Nordeste</v>
      </c>
      <c r="E2134" s="90" t="s">
        <v>13472</v>
      </c>
      <c r="F2134" s="91">
        <v>46754</v>
      </c>
      <c r="G2134" s="92">
        <v>52768</v>
      </c>
      <c r="H2134" s="90" t="s">
        <v>9</v>
      </c>
      <c r="I21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4" s="90" t="s">
        <v>4741</v>
      </c>
    </row>
    <row r="2135" spans="1:11">
      <c r="A2135" s="90" t="s">
        <v>4740</v>
      </c>
      <c r="B2135" s="90" t="s">
        <v>4741</v>
      </c>
      <c r="C2135" s="90" t="s">
        <v>13</v>
      </c>
      <c r="D2135" s="90" t="str">
        <f>VLOOKUP(Tabela1[[#This Row],[Origem]],'Perguntas 1 a 24'!$J$28:$K$34,2,FALSE)</f>
        <v>Sudeste</v>
      </c>
      <c r="E2135" s="90" t="s">
        <v>13473</v>
      </c>
      <c r="F2135" s="91">
        <v>46754</v>
      </c>
      <c r="G2135" s="92">
        <v>36716</v>
      </c>
      <c r="H2135" s="90" t="s">
        <v>7</v>
      </c>
      <c r="I21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35" s="90" t="s">
        <v>5417</v>
      </c>
    </row>
    <row r="2136" spans="1:11">
      <c r="A2136" s="90" t="s">
        <v>5416</v>
      </c>
      <c r="B2136" s="90" t="s">
        <v>5417</v>
      </c>
      <c r="C2136" s="90" t="s">
        <v>13</v>
      </c>
      <c r="D2136" s="90" t="str">
        <f>VLOOKUP(Tabela1[[#This Row],[Origem]],'Perguntas 1 a 24'!$J$28:$K$34,2,FALSE)</f>
        <v>Sudeste</v>
      </c>
      <c r="E2136" s="90" t="s">
        <v>13474</v>
      </c>
      <c r="F2136" s="91">
        <v>46754</v>
      </c>
      <c r="G2136" s="92">
        <v>61107</v>
      </c>
      <c r="H2136" s="90" t="s">
        <v>7</v>
      </c>
      <c r="I21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6" s="90" t="s">
        <v>6205</v>
      </c>
    </row>
    <row r="2137" spans="1:11">
      <c r="A2137" s="90" t="s">
        <v>6204</v>
      </c>
      <c r="B2137" s="90" t="s">
        <v>6205</v>
      </c>
      <c r="C2137" s="90" t="s">
        <v>15</v>
      </c>
      <c r="D2137" s="90" t="str">
        <f>VLOOKUP(Tabela1[[#This Row],[Origem]],'Perguntas 1 a 24'!$J$28:$K$34,2,FALSE)</f>
        <v>Sudeste</v>
      </c>
      <c r="E2137" s="90" t="s">
        <v>13475</v>
      </c>
      <c r="F2137" s="91">
        <v>46754</v>
      </c>
      <c r="G2137" s="92">
        <v>89989</v>
      </c>
      <c r="H2137" s="90" t="s">
        <v>14</v>
      </c>
      <c r="I21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7" s="90" t="s">
        <v>9920</v>
      </c>
    </row>
    <row r="2138" spans="1:11">
      <c r="A2138" s="90" t="s">
        <v>9919</v>
      </c>
      <c r="B2138" s="90" t="s">
        <v>9920</v>
      </c>
      <c r="C2138" s="90" t="s">
        <v>12</v>
      </c>
      <c r="D2138" s="90" t="str">
        <f>VLOOKUP(Tabela1[[#This Row],[Origem]],'Perguntas 1 a 24'!$J$28:$K$34,2,FALSE)</f>
        <v>Sudeste</v>
      </c>
      <c r="E2138" s="90" t="s">
        <v>13476</v>
      </c>
      <c r="F2138" s="91">
        <v>46755</v>
      </c>
      <c r="G2138" s="92">
        <v>57311</v>
      </c>
      <c r="H2138" s="90" t="s">
        <v>14</v>
      </c>
      <c r="I21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8" s="90" t="s">
        <v>10242</v>
      </c>
    </row>
    <row r="2139" spans="1:11">
      <c r="A2139" s="90" t="s">
        <v>10241</v>
      </c>
      <c r="B2139" s="90" t="s">
        <v>10242</v>
      </c>
      <c r="C2139" s="90" t="s">
        <v>13</v>
      </c>
      <c r="D2139" s="90" t="str">
        <f>VLOOKUP(Tabela1[[#This Row],[Origem]],'Perguntas 1 a 24'!$J$28:$K$34,2,FALSE)</f>
        <v>Sudeste</v>
      </c>
      <c r="E2139" s="90" t="s">
        <v>13477</v>
      </c>
      <c r="F2139" s="91">
        <v>46755</v>
      </c>
      <c r="G2139" s="92">
        <v>63626</v>
      </c>
      <c r="H2139" s="90" t="s">
        <v>11</v>
      </c>
      <c r="I21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39" s="90" t="s">
        <v>8808</v>
      </c>
    </row>
    <row r="2140" spans="1:11">
      <c r="A2140" s="90" t="s">
        <v>8807</v>
      </c>
      <c r="B2140" s="90" t="s">
        <v>8808</v>
      </c>
      <c r="C2140" s="90" t="s">
        <v>6</v>
      </c>
      <c r="D2140" s="90" t="str">
        <f>VLOOKUP(Tabela1[[#This Row],[Origem]],'Perguntas 1 a 24'!$J$28:$K$34,2,FALSE)</f>
        <v>Nordeste</v>
      </c>
      <c r="E2140" s="90" t="s">
        <v>13478</v>
      </c>
      <c r="F2140" s="91">
        <v>46756</v>
      </c>
      <c r="G2140" s="92">
        <v>26643</v>
      </c>
      <c r="H2140" s="90" t="s">
        <v>9</v>
      </c>
      <c r="I21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40" s="90" t="s">
        <v>7805</v>
      </c>
    </row>
    <row r="2141" spans="1:11">
      <c r="A2141" s="90" t="s">
        <v>7804</v>
      </c>
      <c r="B2141" s="90" t="s">
        <v>7805</v>
      </c>
      <c r="C2141" s="90" t="s">
        <v>16</v>
      </c>
      <c r="D2141" s="90" t="str">
        <f>VLOOKUP(Tabela1[[#This Row],[Origem]],'Perguntas 1 a 24'!$J$28:$K$34,2,FALSE)</f>
        <v>Sudeste</v>
      </c>
      <c r="E2141" s="90" t="s">
        <v>13479</v>
      </c>
      <c r="F2141" s="91">
        <v>46757</v>
      </c>
      <c r="G2141" s="92">
        <v>48631</v>
      </c>
      <c r="H2141" s="90" t="s">
        <v>9</v>
      </c>
      <c r="I21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41" s="90" t="s">
        <v>10394</v>
      </c>
    </row>
    <row r="2142" spans="1:11">
      <c r="A2142" s="90" t="s">
        <v>10393</v>
      </c>
      <c r="B2142" s="90" t="s">
        <v>10394</v>
      </c>
      <c r="C2142" s="90" t="s">
        <v>16</v>
      </c>
      <c r="D2142" s="90" t="str">
        <f>VLOOKUP(Tabela1[[#This Row],[Origem]],'Perguntas 1 a 24'!$J$28:$K$34,2,FALSE)</f>
        <v>Sudeste</v>
      </c>
      <c r="E2142" s="90" t="s">
        <v>13480</v>
      </c>
      <c r="F2142" s="91">
        <v>46757</v>
      </c>
      <c r="G2142" s="92">
        <v>103094</v>
      </c>
      <c r="H2142" s="90" t="s">
        <v>14</v>
      </c>
      <c r="I21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42" s="90" t="s">
        <v>3678</v>
      </c>
    </row>
    <row r="2143" spans="1:11">
      <c r="A2143" s="90" t="s">
        <v>3677</v>
      </c>
      <c r="B2143" s="90" t="s">
        <v>3678</v>
      </c>
      <c r="C2143" s="90" t="s">
        <v>6</v>
      </c>
      <c r="D2143" s="90" t="str">
        <f>VLOOKUP(Tabela1[[#This Row],[Origem]],'Perguntas 1 a 24'!$J$28:$K$34,2,FALSE)</f>
        <v>Nordeste</v>
      </c>
      <c r="E2143" s="90" t="s">
        <v>13481</v>
      </c>
      <c r="F2143" s="91">
        <v>46759</v>
      </c>
      <c r="G2143" s="92">
        <v>49685</v>
      </c>
      <c r="H2143" s="90" t="s">
        <v>14</v>
      </c>
      <c r="I21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43" s="90" t="s">
        <v>4687</v>
      </c>
    </row>
    <row r="2144" spans="1:11">
      <c r="A2144" s="90" t="s">
        <v>4686</v>
      </c>
      <c r="B2144" s="90" t="s">
        <v>4687</v>
      </c>
      <c r="C2144" s="90" t="s">
        <v>8</v>
      </c>
      <c r="D2144" s="90" t="str">
        <f>VLOOKUP(Tabela1[[#This Row],[Origem]],'Perguntas 1 a 24'!$J$28:$K$34,2,FALSE)</f>
        <v>Nordeste</v>
      </c>
      <c r="E2144" s="90" t="s">
        <v>13482</v>
      </c>
      <c r="F2144" s="91">
        <v>46761</v>
      </c>
      <c r="G2144" s="92">
        <v>83921</v>
      </c>
      <c r="H2144" s="90" t="s">
        <v>9</v>
      </c>
      <c r="I21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44" s="90" t="s">
        <v>10024</v>
      </c>
    </row>
    <row r="2145" spans="1:11">
      <c r="A2145" s="90" t="s">
        <v>10023</v>
      </c>
      <c r="B2145" s="90" t="s">
        <v>10024</v>
      </c>
      <c r="C2145" s="90" t="s">
        <v>15</v>
      </c>
      <c r="D2145" s="90" t="str">
        <f>VLOOKUP(Tabela1[[#This Row],[Origem]],'Perguntas 1 a 24'!$J$28:$K$34,2,FALSE)</f>
        <v>Sudeste</v>
      </c>
      <c r="E2145" s="90" t="s">
        <v>13483</v>
      </c>
      <c r="F2145" s="91">
        <v>46763</v>
      </c>
      <c r="G2145" s="92">
        <v>20373</v>
      </c>
      <c r="H2145" s="90" t="s">
        <v>7</v>
      </c>
      <c r="I21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45" s="90" t="s">
        <v>10430</v>
      </c>
    </row>
    <row r="2146" spans="1:11">
      <c r="A2146" s="90" t="s">
        <v>10429</v>
      </c>
      <c r="B2146" s="90" t="s">
        <v>10430</v>
      </c>
      <c r="C2146" s="90" t="s">
        <v>6</v>
      </c>
      <c r="D2146" s="90" t="str">
        <f>VLOOKUP(Tabela1[[#This Row],[Origem]],'Perguntas 1 a 24'!$J$28:$K$34,2,FALSE)</f>
        <v>Nordeste</v>
      </c>
      <c r="E2146" s="90" t="s">
        <v>13484</v>
      </c>
      <c r="F2146" s="91">
        <v>46764</v>
      </c>
      <c r="G2146" s="92">
        <v>98225</v>
      </c>
      <c r="H2146" s="90" t="s">
        <v>9</v>
      </c>
      <c r="I21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46" s="90" t="s">
        <v>4937</v>
      </c>
    </row>
    <row r="2147" spans="1:11">
      <c r="A2147" s="90" t="s">
        <v>4936</v>
      </c>
      <c r="B2147" s="90" t="s">
        <v>4937</v>
      </c>
      <c r="C2147" s="90" t="s">
        <v>10</v>
      </c>
      <c r="D2147" s="90" t="str">
        <f>VLOOKUP(Tabela1[[#This Row],[Origem]],'Perguntas 1 a 24'!$J$28:$K$34,2,FALSE)</f>
        <v>Centro-Oeste</v>
      </c>
      <c r="E2147" s="90" t="s">
        <v>13485</v>
      </c>
      <c r="F2147" s="91">
        <v>46765</v>
      </c>
      <c r="G2147" s="92">
        <v>98842</v>
      </c>
      <c r="H2147" s="90" t="s">
        <v>7</v>
      </c>
      <c r="I21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47" s="90" t="s">
        <v>4286</v>
      </c>
    </row>
    <row r="2148" spans="1:11">
      <c r="A2148" s="90" t="s">
        <v>4285</v>
      </c>
      <c r="B2148" s="90" t="s">
        <v>4286</v>
      </c>
      <c r="C2148" s="90" t="s">
        <v>12</v>
      </c>
      <c r="D2148" s="90" t="str">
        <f>VLOOKUP(Tabela1[[#This Row],[Origem]],'Perguntas 1 a 24'!$J$28:$K$34,2,FALSE)</f>
        <v>Sudeste</v>
      </c>
      <c r="E2148" s="90" t="s">
        <v>13486</v>
      </c>
      <c r="F2148" s="91">
        <v>46766</v>
      </c>
      <c r="G2148" s="92">
        <v>53815</v>
      </c>
      <c r="H2148" s="90" t="s">
        <v>7</v>
      </c>
      <c r="I21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48" s="90" t="s">
        <v>6095</v>
      </c>
    </row>
    <row r="2149" spans="1:11">
      <c r="A2149" s="90" t="s">
        <v>6094</v>
      </c>
      <c r="B2149" s="90" t="s">
        <v>6095</v>
      </c>
      <c r="C2149" s="90" t="s">
        <v>15</v>
      </c>
      <c r="D2149" s="90" t="str">
        <f>VLOOKUP(Tabela1[[#This Row],[Origem]],'Perguntas 1 a 24'!$J$28:$K$34,2,FALSE)</f>
        <v>Sudeste</v>
      </c>
      <c r="E2149" s="90" t="s">
        <v>13487</v>
      </c>
      <c r="F2149" s="91">
        <v>46766</v>
      </c>
      <c r="G2149" s="92">
        <v>21631</v>
      </c>
      <c r="H2149" s="90" t="s">
        <v>7</v>
      </c>
      <c r="I21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49" s="90" t="s">
        <v>8616</v>
      </c>
    </row>
    <row r="2150" spans="1:11">
      <c r="A2150" s="90" t="s">
        <v>8615</v>
      </c>
      <c r="B2150" s="90" t="s">
        <v>8616</v>
      </c>
      <c r="C2150" s="90" t="s">
        <v>13</v>
      </c>
      <c r="D2150" s="90" t="str">
        <f>VLOOKUP(Tabela1[[#This Row],[Origem]],'Perguntas 1 a 24'!$J$28:$K$34,2,FALSE)</f>
        <v>Sudeste</v>
      </c>
      <c r="E2150" s="90" t="s">
        <v>13488</v>
      </c>
      <c r="F2150" s="91">
        <v>46766</v>
      </c>
      <c r="G2150" s="92">
        <v>60853</v>
      </c>
      <c r="H2150" s="90" t="s">
        <v>11</v>
      </c>
      <c r="I21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50" s="90" t="s">
        <v>9644</v>
      </c>
    </row>
    <row r="2151" spans="1:11">
      <c r="A2151" s="90" t="s">
        <v>9643</v>
      </c>
      <c r="B2151" s="90" t="s">
        <v>9644</v>
      </c>
      <c r="C2151" s="90" t="s">
        <v>8</v>
      </c>
      <c r="D2151" s="90" t="str">
        <f>VLOOKUP(Tabela1[[#This Row],[Origem]],'Perguntas 1 a 24'!$J$28:$K$34,2,FALSE)</f>
        <v>Nordeste</v>
      </c>
      <c r="E2151" s="90" t="s">
        <v>13489</v>
      </c>
      <c r="F2151" s="91">
        <v>46767</v>
      </c>
      <c r="G2151" s="92">
        <v>47447</v>
      </c>
      <c r="H2151" s="90" t="s">
        <v>9</v>
      </c>
      <c r="I21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51" s="90" t="s">
        <v>10828</v>
      </c>
    </row>
    <row r="2152" spans="1:11">
      <c r="A2152" s="90" t="s">
        <v>10827</v>
      </c>
      <c r="B2152" s="90" t="s">
        <v>10828</v>
      </c>
      <c r="C2152" s="90" t="s">
        <v>15</v>
      </c>
      <c r="D2152" s="90" t="str">
        <f>VLOOKUP(Tabela1[[#This Row],[Origem]],'Perguntas 1 a 24'!$J$28:$K$34,2,FALSE)</f>
        <v>Sudeste</v>
      </c>
      <c r="E2152" s="90" t="s">
        <v>13490</v>
      </c>
      <c r="F2152" s="91">
        <v>46768</v>
      </c>
      <c r="G2152" s="92">
        <v>79724</v>
      </c>
      <c r="H2152" s="90" t="s">
        <v>14</v>
      </c>
      <c r="I21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52" s="90" t="s">
        <v>7733</v>
      </c>
    </row>
    <row r="2153" spans="1:11">
      <c r="A2153" s="90" t="s">
        <v>7732</v>
      </c>
      <c r="B2153" s="90" t="s">
        <v>7733</v>
      </c>
      <c r="C2153" s="90" t="s">
        <v>13</v>
      </c>
      <c r="D2153" s="90" t="str">
        <f>VLOOKUP(Tabela1[[#This Row],[Origem]],'Perguntas 1 a 24'!$J$28:$K$34,2,FALSE)</f>
        <v>Sudeste</v>
      </c>
      <c r="E2153" s="90" t="s">
        <v>13491</v>
      </c>
      <c r="F2153" s="91">
        <v>46769</v>
      </c>
      <c r="G2153" s="92">
        <v>111279</v>
      </c>
      <c r="H2153" s="90" t="s">
        <v>14</v>
      </c>
      <c r="I21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53" s="90" t="s">
        <v>8435</v>
      </c>
    </row>
    <row r="2154" spans="1:11">
      <c r="A2154" s="90" t="s">
        <v>8434</v>
      </c>
      <c r="B2154" s="90" t="s">
        <v>8435</v>
      </c>
      <c r="C2154" s="90" t="s">
        <v>8</v>
      </c>
      <c r="D2154" s="90" t="str">
        <f>VLOOKUP(Tabela1[[#This Row],[Origem]],'Perguntas 1 a 24'!$J$28:$K$34,2,FALSE)</f>
        <v>Nordeste</v>
      </c>
      <c r="E2154" s="90" t="s">
        <v>13492</v>
      </c>
      <c r="F2154" s="91">
        <v>46769</v>
      </c>
      <c r="G2154" s="92">
        <v>35981</v>
      </c>
      <c r="H2154" s="90" t="s">
        <v>9</v>
      </c>
      <c r="I21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54" s="90" t="s">
        <v>10034</v>
      </c>
    </row>
    <row r="2155" spans="1:11">
      <c r="A2155" s="90" t="s">
        <v>10033</v>
      </c>
      <c r="B2155" s="90" t="s">
        <v>10034</v>
      </c>
      <c r="C2155" s="90" t="s">
        <v>13</v>
      </c>
      <c r="D2155" s="90" t="str">
        <f>VLOOKUP(Tabela1[[#This Row],[Origem]],'Perguntas 1 a 24'!$J$28:$K$34,2,FALSE)</f>
        <v>Sudeste</v>
      </c>
      <c r="E2155" s="90" t="s">
        <v>13493</v>
      </c>
      <c r="F2155" s="91">
        <v>46769</v>
      </c>
      <c r="G2155" s="92">
        <v>21382</v>
      </c>
      <c r="H2155" s="90" t="s">
        <v>9</v>
      </c>
      <c r="I21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55" s="90" t="s">
        <v>6479</v>
      </c>
    </row>
    <row r="2156" spans="1:11">
      <c r="A2156" s="90" t="s">
        <v>6478</v>
      </c>
      <c r="B2156" s="90" t="s">
        <v>6479</v>
      </c>
      <c r="C2156" s="90" t="s">
        <v>8</v>
      </c>
      <c r="D2156" s="90" t="str">
        <f>VLOOKUP(Tabela1[[#This Row],[Origem]],'Perguntas 1 a 24'!$J$28:$K$34,2,FALSE)</f>
        <v>Nordeste</v>
      </c>
      <c r="E2156" s="90" t="s">
        <v>13494</v>
      </c>
      <c r="F2156" s="91">
        <v>46770</v>
      </c>
      <c r="G2156" s="92">
        <v>115536</v>
      </c>
      <c r="H2156" s="90" t="s">
        <v>9</v>
      </c>
      <c r="I21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56" s="90" t="s">
        <v>8772</v>
      </c>
    </row>
    <row r="2157" spans="1:11">
      <c r="A2157" s="90" t="s">
        <v>8771</v>
      </c>
      <c r="B2157" s="90" t="s">
        <v>8772</v>
      </c>
      <c r="C2157" s="90" t="s">
        <v>8</v>
      </c>
      <c r="D2157" s="90" t="str">
        <f>VLOOKUP(Tabela1[[#This Row],[Origem]],'Perguntas 1 a 24'!$J$28:$K$34,2,FALSE)</f>
        <v>Nordeste</v>
      </c>
      <c r="E2157" s="90" t="s">
        <v>13495</v>
      </c>
      <c r="F2157" s="91">
        <v>46770</v>
      </c>
      <c r="G2157" s="92">
        <v>114472</v>
      </c>
      <c r="H2157" s="90" t="s">
        <v>11</v>
      </c>
      <c r="I21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57" s="90" t="s">
        <v>10882</v>
      </c>
    </row>
    <row r="2158" spans="1:11">
      <c r="A2158" s="90" t="s">
        <v>10881</v>
      </c>
      <c r="B2158" s="90" t="s">
        <v>10882</v>
      </c>
      <c r="C2158" s="90" t="s">
        <v>6</v>
      </c>
      <c r="D2158" s="90" t="str">
        <f>VLOOKUP(Tabela1[[#This Row],[Origem]],'Perguntas 1 a 24'!$J$28:$K$34,2,FALSE)</f>
        <v>Nordeste</v>
      </c>
      <c r="E2158" s="90" t="s">
        <v>13496</v>
      </c>
      <c r="F2158" s="91">
        <v>46770</v>
      </c>
      <c r="G2158" s="92">
        <v>113448</v>
      </c>
      <c r="H2158" s="90" t="s">
        <v>7</v>
      </c>
      <c r="I21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58" s="90" t="s">
        <v>20</v>
      </c>
    </row>
    <row r="2159" spans="1:11">
      <c r="A2159" s="90" t="s">
        <v>10973</v>
      </c>
      <c r="B2159" s="90" t="s">
        <v>20</v>
      </c>
      <c r="C2159" s="90" t="s">
        <v>10</v>
      </c>
      <c r="D2159" s="90" t="str">
        <f>VLOOKUP(Tabela1[[#This Row],[Origem]],'Perguntas 1 a 24'!$J$28:$K$34,2,FALSE)</f>
        <v>Centro-Oeste</v>
      </c>
      <c r="E2159" s="90" t="s">
        <v>13497</v>
      </c>
      <c r="F2159" s="91">
        <v>46770</v>
      </c>
      <c r="G2159" s="92">
        <v>119088</v>
      </c>
      <c r="H2159" s="90" t="s">
        <v>9</v>
      </c>
      <c r="I21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59" s="90" t="s">
        <v>7941</v>
      </c>
    </row>
    <row r="2160" spans="1:11">
      <c r="A2160" s="90" t="s">
        <v>7940</v>
      </c>
      <c r="B2160" s="90" t="s">
        <v>7941</v>
      </c>
      <c r="C2160" s="90" t="s">
        <v>10</v>
      </c>
      <c r="D2160" s="90" t="str">
        <f>VLOOKUP(Tabela1[[#This Row],[Origem]],'Perguntas 1 a 24'!$J$28:$K$34,2,FALSE)</f>
        <v>Centro-Oeste</v>
      </c>
      <c r="E2160" s="90" t="s">
        <v>13498</v>
      </c>
      <c r="F2160" s="91">
        <v>46772</v>
      </c>
      <c r="G2160" s="92">
        <v>46508</v>
      </c>
      <c r="H2160" s="90" t="s">
        <v>11</v>
      </c>
      <c r="I21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60" s="90" t="s">
        <v>9464</v>
      </c>
    </row>
    <row r="2161" spans="1:11">
      <c r="A2161" s="90" t="s">
        <v>9463</v>
      </c>
      <c r="B2161" s="90" t="s">
        <v>9464</v>
      </c>
      <c r="C2161" s="90" t="s">
        <v>13</v>
      </c>
      <c r="D2161" s="90" t="str">
        <f>VLOOKUP(Tabela1[[#This Row],[Origem]],'Perguntas 1 a 24'!$J$28:$K$34,2,FALSE)</f>
        <v>Sudeste</v>
      </c>
      <c r="E2161" s="90" t="s">
        <v>13499</v>
      </c>
      <c r="F2161" s="91">
        <v>46773</v>
      </c>
      <c r="G2161" s="92">
        <v>67999</v>
      </c>
      <c r="H2161" s="90" t="s">
        <v>14</v>
      </c>
      <c r="I21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61" s="90" t="s">
        <v>10168</v>
      </c>
    </row>
    <row r="2162" spans="1:11">
      <c r="A2162" s="90" t="s">
        <v>10167</v>
      </c>
      <c r="B2162" s="90" t="s">
        <v>10168</v>
      </c>
      <c r="C2162" s="90" t="s">
        <v>6</v>
      </c>
      <c r="D2162" s="90" t="str">
        <f>VLOOKUP(Tabela1[[#This Row],[Origem]],'Perguntas 1 a 24'!$J$28:$K$34,2,FALSE)</f>
        <v>Nordeste</v>
      </c>
      <c r="E2162" s="90" t="s">
        <v>13500</v>
      </c>
      <c r="F2162" s="91">
        <v>46774</v>
      </c>
      <c r="G2162" s="92">
        <v>87779</v>
      </c>
      <c r="H2162" s="90" t="s">
        <v>9</v>
      </c>
      <c r="I21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62" s="90" t="s">
        <v>11174</v>
      </c>
    </row>
    <row r="2163" spans="1:11">
      <c r="A2163" s="90" t="s">
        <v>11173</v>
      </c>
      <c r="B2163" s="90" t="s">
        <v>11174</v>
      </c>
      <c r="C2163" s="90" t="s">
        <v>8</v>
      </c>
      <c r="D2163" s="90" t="str">
        <f>VLOOKUP(Tabela1[[#This Row],[Origem]],'Perguntas 1 a 24'!$J$28:$K$34,2,FALSE)</f>
        <v>Nordeste</v>
      </c>
      <c r="E2163" s="90" t="s">
        <v>13501</v>
      </c>
      <c r="F2163" s="91">
        <v>46775</v>
      </c>
      <c r="G2163" s="92">
        <v>52400</v>
      </c>
      <c r="H2163" s="90" t="s">
        <v>14</v>
      </c>
      <c r="I21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63" s="90" t="s">
        <v>7721</v>
      </c>
    </row>
    <row r="2164" spans="1:11">
      <c r="A2164" s="90" t="s">
        <v>7720</v>
      </c>
      <c r="B2164" s="90" t="s">
        <v>7721</v>
      </c>
      <c r="C2164" s="90" t="s">
        <v>16</v>
      </c>
      <c r="D2164" s="90" t="str">
        <f>VLOOKUP(Tabela1[[#This Row],[Origem]],'Perguntas 1 a 24'!$J$28:$K$34,2,FALSE)</f>
        <v>Sudeste</v>
      </c>
      <c r="E2164" s="90" t="s">
        <v>13502</v>
      </c>
      <c r="F2164" s="91">
        <v>46776</v>
      </c>
      <c r="G2164" s="92">
        <v>26139</v>
      </c>
      <c r="H2164" s="90" t="s">
        <v>11</v>
      </c>
      <c r="I21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64" s="90" t="s">
        <v>10340</v>
      </c>
    </row>
    <row r="2165" spans="1:11">
      <c r="A2165" s="90" t="s">
        <v>10339</v>
      </c>
      <c r="B2165" s="90" t="s">
        <v>10340</v>
      </c>
      <c r="C2165" s="90" t="s">
        <v>15</v>
      </c>
      <c r="D2165" s="90" t="str">
        <f>VLOOKUP(Tabela1[[#This Row],[Origem]],'Perguntas 1 a 24'!$J$28:$K$34,2,FALSE)</f>
        <v>Sudeste</v>
      </c>
      <c r="E2165" s="90" t="s">
        <v>13503</v>
      </c>
      <c r="F2165" s="91">
        <v>46776</v>
      </c>
      <c r="G2165" s="92">
        <v>23201</v>
      </c>
      <c r="H2165" s="90" t="s">
        <v>11</v>
      </c>
      <c r="I21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65" s="90" t="s">
        <v>8341</v>
      </c>
    </row>
    <row r="2166" spans="1:11">
      <c r="A2166" s="90" t="s">
        <v>8340</v>
      </c>
      <c r="B2166" s="90" t="s">
        <v>8341</v>
      </c>
      <c r="C2166" s="90" t="s">
        <v>10</v>
      </c>
      <c r="D2166" s="90" t="str">
        <f>VLOOKUP(Tabela1[[#This Row],[Origem]],'Perguntas 1 a 24'!$J$28:$K$34,2,FALSE)</f>
        <v>Centro-Oeste</v>
      </c>
      <c r="E2166" s="90" t="s">
        <v>13504</v>
      </c>
      <c r="F2166" s="91">
        <v>46777</v>
      </c>
      <c r="G2166" s="92">
        <v>75801</v>
      </c>
      <c r="H2166" s="90" t="s">
        <v>14</v>
      </c>
      <c r="I21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66" s="90" t="s">
        <v>8493</v>
      </c>
    </row>
    <row r="2167" spans="1:11">
      <c r="A2167" s="90" t="s">
        <v>8492</v>
      </c>
      <c r="B2167" s="90" t="s">
        <v>8493</v>
      </c>
      <c r="C2167" s="90" t="s">
        <v>13</v>
      </c>
      <c r="D2167" s="90" t="str">
        <f>VLOOKUP(Tabela1[[#This Row],[Origem]],'Perguntas 1 a 24'!$J$28:$K$34,2,FALSE)</f>
        <v>Sudeste</v>
      </c>
      <c r="E2167" s="90" t="s">
        <v>13505</v>
      </c>
      <c r="F2167" s="91">
        <v>46777</v>
      </c>
      <c r="G2167" s="92">
        <v>115332</v>
      </c>
      <c r="H2167" s="90" t="s">
        <v>14</v>
      </c>
      <c r="I21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67" s="90" t="s">
        <v>5511</v>
      </c>
    </row>
    <row r="2168" spans="1:11">
      <c r="A2168" s="90" t="s">
        <v>5510</v>
      </c>
      <c r="B2168" s="90" t="s">
        <v>5511</v>
      </c>
      <c r="C2168" s="90" t="s">
        <v>13</v>
      </c>
      <c r="D2168" s="90" t="str">
        <f>VLOOKUP(Tabela1[[#This Row],[Origem]],'Perguntas 1 a 24'!$J$28:$K$34,2,FALSE)</f>
        <v>Sudeste</v>
      </c>
      <c r="E2168" s="90" t="s">
        <v>13506</v>
      </c>
      <c r="F2168" s="91">
        <v>46778</v>
      </c>
      <c r="G2168" s="92">
        <v>100222</v>
      </c>
      <c r="H2168" s="90" t="s">
        <v>11</v>
      </c>
      <c r="I21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68" s="90" t="s">
        <v>4296</v>
      </c>
    </row>
    <row r="2169" spans="1:11">
      <c r="A2169" s="90" t="s">
        <v>4295</v>
      </c>
      <c r="B2169" s="90" t="s">
        <v>4296</v>
      </c>
      <c r="C2169" s="90" t="s">
        <v>12</v>
      </c>
      <c r="D2169" s="90" t="str">
        <f>VLOOKUP(Tabela1[[#This Row],[Origem]],'Perguntas 1 a 24'!$J$28:$K$34,2,FALSE)</f>
        <v>Sudeste</v>
      </c>
      <c r="E2169" s="90" t="s">
        <v>13507</v>
      </c>
      <c r="F2169" s="91">
        <v>46779</v>
      </c>
      <c r="G2169" s="92">
        <v>69167</v>
      </c>
      <c r="H2169" s="90" t="s">
        <v>11</v>
      </c>
      <c r="I21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69" s="90" t="s">
        <v>4366</v>
      </c>
    </row>
    <row r="2170" spans="1:11">
      <c r="A2170" s="90" t="s">
        <v>4365</v>
      </c>
      <c r="B2170" s="90" t="s">
        <v>4366</v>
      </c>
      <c r="C2170" s="90" t="s">
        <v>13</v>
      </c>
      <c r="D2170" s="90" t="str">
        <f>VLOOKUP(Tabela1[[#This Row],[Origem]],'Perguntas 1 a 24'!$J$28:$K$34,2,FALSE)</f>
        <v>Sudeste</v>
      </c>
      <c r="E2170" s="90" t="s">
        <v>13508</v>
      </c>
      <c r="F2170" s="91">
        <v>46779</v>
      </c>
      <c r="G2170" s="92">
        <v>70593</v>
      </c>
      <c r="H2170" s="90" t="s">
        <v>14</v>
      </c>
      <c r="I21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0" s="90" t="s">
        <v>5109</v>
      </c>
    </row>
    <row r="2171" spans="1:11">
      <c r="A2171" s="90" t="s">
        <v>5108</v>
      </c>
      <c r="B2171" s="90" t="s">
        <v>5109</v>
      </c>
      <c r="C2171" s="90" t="s">
        <v>15</v>
      </c>
      <c r="D2171" s="90" t="str">
        <f>VLOOKUP(Tabela1[[#This Row],[Origem]],'Perguntas 1 a 24'!$J$28:$K$34,2,FALSE)</f>
        <v>Sudeste</v>
      </c>
      <c r="E2171" s="90" t="s">
        <v>13509</v>
      </c>
      <c r="F2171" s="91">
        <v>46779</v>
      </c>
      <c r="G2171" s="92">
        <v>101160</v>
      </c>
      <c r="H2171" s="90" t="s">
        <v>9</v>
      </c>
      <c r="I21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1" s="90" t="s">
        <v>7787</v>
      </c>
    </row>
    <row r="2172" spans="1:11">
      <c r="A2172" s="90" t="s">
        <v>7786</v>
      </c>
      <c r="B2172" s="90" t="s">
        <v>7787</v>
      </c>
      <c r="C2172" s="90" t="s">
        <v>13</v>
      </c>
      <c r="D2172" s="90" t="str">
        <f>VLOOKUP(Tabela1[[#This Row],[Origem]],'Perguntas 1 a 24'!$J$28:$K$34,2,FALSE)</f>
        <v>Sudeste</v>
      </c>
      <c r="E2172" s="90" t="s">
        <v>13510</v>
      </c>
      <c r="F2172" s="91">
        <v>46779</v>
      </c>
      <c r="G2172" s="92">
        <v>25628</v>
      </c>
      <c r="H2172" s="90" t="s">
        <v>9</v>
      </c>
      <c r="I21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72" s="90" t="s">
        <v>10312</v>
      </c>
    </row>
    <row r="2173" spans="1:11">
      <c r="A2173" s="90" t="s">
        <v>10311</v>
      </c>
      <c r="B2173" s="90" t="s">
        <v>10312</v>
      </c>
      <c r="C2173" s="90" t="s">
        <v>6</v>
      </c>
      <c r="D2173" s="90" t="str">
        <f>VLOOKUP(Tabela1[[#This Row],[Origem]],'Perguntas 1 a 24'!$J$28:$K$34,2,FALSE)</f>
        <v>Nordeste</v>
      </c>
      <c r="E2173" s="90" t="s">
        <v>13511</v>
      </c>
      <c r="F2173" s="91">
        <v>46779</v>
      </c>
      <c r="G2173" s="92">
        <v>68658</v>
      </c>
      <c r="H2173" s="90" t="s">
        <v>14</v>
      </c>
      <c r="I21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3" s="90" t="s">
        <v>11136</v>
      </c>
    </row>
    <row r="2174" spans="1:11">
      <c r="A2174" s="90" t="s">
        <v>11135</v>
      </c>
      <c r="B2174" s="90" t="s">
        <v>11136</v>
      </c>
      <c r="C2174" s="90" t="s">
        <v>12</v>
      </c>
      <c r="D2174" s="90" t="str">
        <f>VLOOKUP(Tabela1[[#This Row],[Origem]],'Perguntas 1 a 24'!$J$28:$K$34,2,FALSE)</f>
        <v>Sudeste</v>
      </c>
      <c r="E2174" s="90" t="s">
        <v>13512</v>
      </c>
      <c r="F2174" s="91">
        <v>46780</v>
      </c>
      <c r="G2174" s="92">
        <v>108871</v>
      </c>
      <c r="H2174" s="90" t="s">
        <v>9</v>
      </c>
      <c r="I21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4" s="90" t="s">
        <v>4350</v>
      </c>
    </row>
    <row r="2175" spans="1:11">
      <c r="A2175" s="90" t="s">
        <v>4349</v>
      </c>
      <c r="B2175" s="90" t="s">
        <v>4350</v>
      </c>
      <c r="C2175" s="90" t="s">
        <v>10</v>
      </c>
      <c r="D2175" s="90" t="str">
        <f>VLOOKUP(Tabela1[[#This Row],[Origem]],'Perguntas 1 a 24'!$J$28:$K$34,2,FALSE)</f>
        <v>Centro-Oeste</v>
      </c>
      <c r="E2175" s="90" t="s">
        <v>13513</v>
      </c>
      <c r="F2175" s="91">
        <v>46781</v>
      </c>
      <c r="G2175" s="92">
        <v>70064</v>
      </c>
      <c r="H2175" s="90" t="s">
        <v>11</v>
      </c>
      <c r="I21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5" s="90" t="s">
        <v>7303</v>
      </c>
    </row>
    <row r="2176" spans="1:11">
      <c r="A2176" s="90" t="s">
        <v>7302</v>
      </c>
      <c r="B2176" s="90" t="s">
        <v>7303</v>
      </c>
      <c r="C2176" s="90" t="s">
        <v>8</v>
      </c>
      <c r="D2176" s="90" t="str">
        <f>VLOOKUP(Tabela1[[#This Row],[Origem]],'Perguntas 1 a 24'!$J$28:$K$34,2,FALSE)</f>
        <v>Nordeste</v>
      </c>
      <c r="E2176" s="90" t="s">
        <v>13514</v>
      </c>
      <c r="F2176" s="91">
        <v>46781</v>
      </c>
      <c r="G2176" s="92">
        <v>74230</v>
      </c>
      <c r="H2176" s="90" t="s">
        <v>14</v>
      </c>
      <c r="I21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6" s="90" t="s">
        <v>8005</v>
      </c>
    </row>
    <row r="2177" spans="1:11">
      <c r="A2177" s="90" t="s">
        <v>8004</v>
      </c>
      <c r="B2177" s="90" t="s">
        <v>8005</v>
      </c>
      <c r="C2177" s="90" t="s">
        <v>16</v>
      </c>
      <c r="D2177" s="90" t="str">
        <f>VLOOKUP(Tabela1[[#This Row],[Origem]],'Perguntas 1 a 24'!$J$28:$K$34,2,FALSE)</f>
        <v>Sudeste</v>
      </c>
      <c r="E2177" s="90" t="s">
        <v>13515</v>
      </c>
      <c r="F2177" s="91">
        <v>46781</v>
      </c>
      <c r="G2177" s="92">
        <v>65654</v>
      </c>
      <c r="H2177" s="90" t="s">
        <v>14</v>
      </c>
      <c r="I21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7" s="90" t="s">
        <v>9200</v>
      </c>
    </row>
    <row r="2178" spans="1:11">
      <c r="A2178" s="90" t="s">
        <v>9199</v>
      </c>
      <c r="B2178" s="90" t="s">
        <v>9200</v>
      </c>
      <c r="C2178" s="90" t="s">
        <v>15</v>
      </c>
      <c r="D2178" s="90" t="str">
        <f>VLOOKUP(Tabela1[[#This Row],[Origem]],'Perguntas 1 a 24'!$J$28:$K$34,2,FALSE)</f>
        <v>Sudeste</v>
      </c>
      <c r="E2178" s="90" t="s">
        <v>13516</v>
      </c>
      <c r="F2178" s="91">
        <v>46781</v>
      </c>
      <c r="G2178" s="92">
        <v>59369</v>
      </c>
      <c r="H2178" s="90" t="s">
        <v>7</v>
      </c>
      <c r="I21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8" s="90" t="s">
        <v>11144</v>
      </c>
    </row>
    <row r="2179" spans="1:11">
      <c r="A2179" s="90" t="s">
        <v>11143</v>
      </c>
      <c r="B2179" s="90" t="s">
        <v>11144</v>
      </c>
      <c r="C2179" s="90" t="s">
        <v>8</v>
      </c>
      <c r="D2179" s="90" t="str">
        <f>VLOOKUP(Tabela1[[#This Row],[Origem]],'Perguntas 1 a 24'!$J$28:$K$34,2,FALSE)</f>
        <v>Nordeste</v>
      </c>
      <c r="E2179" s="90" t="s">
        <v>13517</v>
      </c>
      <c r="F2179" s="91">
        <v>46781</v>
      </c>
      <c r="G2179" s="92">
        <v>62334</v>
      </c>
      <c r="H2179" s="90" t="s">
        <v>11</v>
      </c>
      <c r="I21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79" s="90" t="s">
        <v>10870</v>
      </c>
    </row>
    <row r="2180" spans="1:11">
      <c r="A2180" s="90" t="s">
        <v>10869</v>
      </c>
      <c r="B2180" s="90" t="s">
        <v>10870</v>
      </c>
      <c r="C2180" s="90" t="s">
        <v>12</v>
      </c>
      <c r="D2180" s="90" t="str">
        <f>VLOOKUP(Tabela1[[#This Row],[Origem]],'Perguntas 1 a 24'!$J$28:$K$34,2,FALSE)</f>
        <v>Sudeste</v>
      </c>
      <c r="E2180" s="90" t="s">
        <v>13518</v>
      </c>
      <c r="F2180" s="91">
        <v>46783</v>
      </c>
      <c r="G2180" s="92">
        <v>84404</v>
      </c>
      <c r="H2180" s="90" t="s">
        <v>9</v>
      </c>
      <c r="I21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80" s="90" t="s">
        <v>3977</v>
      </c>
    </row>
    <row r="2181" spans="1:11">
      <c r="A2181" s="90" t="s">
        <v>3976</v>
      </c>
      <c r="B2181" s="90" t="s">
        <v>3977</v>
      </c>
      <c r="C2181" s="90" t="s">
        <v>10</v>
      </c>
      <c r="D2181" s="90" t="str">
        <f>VLOOKUP(Tabela1[[#This Row],[Origem]],'Perguntas 1 a 24'!$J$28:$K$34,2,FALSE)</f>
        <v>Centro-Oeste</v>
      </c>
      <c r="E2181" s="90" t="s">
        <v>13519</v>
      </c>
      <c r="F2181" s="91">
        <v>46785</v>
      </c>
      <c r="G2181" s="92">
        <v>47820</v>
      </c>
      <c r="H2181" s="90" t="s">
        <v>9</v>
      </c>
      <c r="I21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81" s="90" t="s">
        <v>5319</v>
      </c>
    </row>
    <row r="2182" spans="1:11">
      <c r="A2182" s="90" t="s">
        <v>5318</v>
      </c>
      <c r="B2182" s="90" t="s">
        <v>5319</v>
      </c>
      <c r="C2182" s="90" t="s">
        <v>8</v>
      </c>
      <c r="D2182" s="90" t="str">
        <f>VLOOKUP(Tabela1[[#This Row],[Origem]],'Perguntas 1 a 24'!$J$28:$K$34,2,FALSE)</f>
        <v>Nordeste</v>
      </c>
      <c r="E2182" s="90" t="s">
        <v>13520</v>
      </c>
      <c r="F2182" s="91">
        <v>46785</v>
      </c>
      <c r="G2182" s="92">
        <v>23929</v>
      </c>
      <c r="H2182" s="90" t="s">
        <v>7</v>
      </c>
      <c r="I21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82" s="90" t="s">
        <v>5947</v>
      </c>
    </row>
    <row r="2183" spans="1:11">
      <c r="A2183" s="90" t="s">
        <v>5946</v>
      </c>
      <c r="B2183" s="90" t="s">
        <v>5947</v>
      </c>
      <c r="C2183" s="90" t="s">
        <v>6</v>
      </c>
      <c r="D2183" s="90" t="str">
        <f>VLOOKUP(Tabela1[[#This Row],[Origem]],'Perguntas 1 a 24'!$J$28:$K$34,2,FALSE)</f>
        <v>Nordeste</v>
      </c>
      <c r="E2183" s="90" t="s">
        <v>13521</v>
      </c>
      <c r="F2183" s="91">
        <v>46785</v>
      </c>
      <c r="G2183" s="92">
        <v>87917</v>
      </c>
      <c r="H2183" s="90" t="s">
        <v>7</v>
      </c>
      <c r="I21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83" s="90" t="s">
        <v>7443</v>
      </c>
    </row>
    <row r="2184" spans="1:11">
      <c r="A2184" s="90" t="s">
        <v>7442</v>
      </c>
      <c r="B2184" s="90" t="s">
        <v>7443</v>
      </c>
      <c r="C2184" s="90" t="s">
        <v>12</v>
      </c>
      <c r="D2184" s="90" t="str">
        <f>VLOOKUP(Tabela1[[#This Row],[Origem]],'Perguntas 1 a 24'!$J$28:$K$34,2,FALSE)</f>
        <v>Sudeste</v>
      </c>
      <c r="E2184" s="90" t="s">
        <v>13522</v>
      </c>
      <c r="F2184" s="91">
        <v>46785</v>
      </c>
      <c r="G2184" s="92">
        <v>99836</v>
      </c>
      <c r="H2184" s="90" t="s">
        <v>7</v>
      </c>
      <c r="I21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84" s="90" t="s">
        <v>5267</v>
      </c>
    </row>
    <row r="2185" spans="1:11">
      <c r="A2185" s="90" t="s">
        <v>5266</v>
      </c>
      <c r="B2185" s="90" t="s">
        <v>5267</v>
      </c>
      <c r="C2185" s="90" t="s">
        <v>13</v>
      </c>
      <c r="D2185" s="90" t="str">
        <f>VLOOKUP(Tabela1[[#This Row],[Origem]],'Perguntas 1 a 24'!$J$28:$K$34,2,FALSE)</f>
        <v>Sudeste</v>
      </c>
      <c r="E2185" s="90" t="s">
        <v>13523</v>
      </c>
      <c r="F2185" s="91">
        <v>46786</v>
      </c>
      <c r="G2185" s="92">
        <v>104815</v>
      </c>
      <c r="H2185" s="90" t="s">
        <v>14</v>
      </c>
      <c r="I21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85" s="90" t="s">
        <v>7591</v>
      </c>
    </row>
    <row r="2186" spans="1:11">
      <c r="A2186" s="90" t="s">
        <v>7590</v>
      </c>
      <c r="B2186" s="90" t="s">
        <v>7591</v>
      </c>
      <c r="C2186" s="90" t="s">
        <v>8</v>
      </c>
      <c r="D2186" s="90" t="str">
        <f>VLOOKUP(Tabela1[[#This Row],[Origem]],'Perguntas 1 a 24'!$J$28:$K$34,2,FALSE)</f>
        <v>Nordeste</v>
      </c>
      <c r="E2186" s="90" t="s">
        <v>13524</v>
      </c>
      <c r="F2186" s="91">
        <v>46786</v>
      </c>
      <c r="G2186" s="92">
        <v>22654</v>
      </c>
      <c r="H2186" s="90" t="s">
        <v>9</v>
      </c>
      <c r="I21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86" s="90" t="s">
        <v>10624</v>
      </c>
    </row>
    <row r="2187" spans="1:11">
      <c r="A2187" s="90" t="s">
        <v>10623</v>
      </c>
      <c r="B2187" s="90" t="s">
        <v>10624</v>
      </c>
      <c r="C2187" s="90" t="s">
        <v>10</v>
      </c>
      <c r="D2187" s="90" t="str">
        <f>VLOOKUP(Tabela1[[#This Row],[Origem]],'Perguntas 1 a 24'!$J$28:$K$34,2,FALSE)</f>
        <v>Centro-Oeste</v>
      </c>
      <c r="E2187" s="90" t="s">
        <v>13525</v>
      </c>
      <c r="F2187" s="91">
        <v>46786</v>
      </c>
      <c r="G2187" s="92">
        <v>81595</v>
      </c>
      <c r="H2187" s="90" t="s">
        <v>9</v>
      </c>
      <c r="I21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87" s="90" t="s">
        <v>4232</v>
      </c>
    </row>
    <row r="2188" spans="1:11">
      <c r="A2188" s="90" t="s">
        <v>4231</v>
      </c>
      <c r="B2188" s="90" t="s">
        <v>4232</v>
      </c>
      <c r="C2188" s="90" t="s">
        <v>13</v>
      </c>
      <c r="D2188" s="90" t="str">
        <f>VLOOKUP(Tabela1[[#This Row],[Origem]],'Perguntas 1 a 24'!$J$28:$K$34,2,FALSE)</f>
        <v>Sudeste</v>
      </c>
      <c r="E2188" s="90" t="s">
        <v>13526</v>
      </c>
      <c r="F2188" s="91">
        <v>46787</v>
      </c>
      <c r="G2188" s="92">
        <v>36533</v>
      </c>
      <c r="H2188" s="90" t="s">
        <v>11</v>
      </c>
      <c r="I21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88" s="90" t="s">
        <v>9378</v>
      </c>
    </row>
    <row r="2189" spans="1:11">
      <c r="A2189" s="90" t="s">
        <v>9377</v>
      </c>
      <c r="B2189" s="90" t="s">
        <v>9378</v>
      </c>
      <c r="C2189" s="90" t="s">
        <v>15</v>
      </c>
      <c r="D2189" s="90" t="str">
        <f>VLOOKUP(Tabela1[[#This Row],[Origem]],'Perguntas 1 a 24'!$J$28:$K$34,2,FALSE)</f>
        <v>Sudeste</v>
      </c>
      <c r="E2189" s="90" t="s">
        <v>13527</v>
      </c>
      <c r="F2189" s="91">
        <v>46787</v>
      </c>
      <c r="G2189" s="92">
        <v>22903</v>
      </c>
      <c r="H2189" s="90" t="s">
        <v>9</v>
      </c>
      <c r="I21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89" s="90" t="s">
        <v>10230</v>
      </c>
    </row>
    <row r="2190" spans="1:11">
      <c r="A2190" s="90" t="s">
        <v>10229</v>
      </c>
      <c r="B2190" s="90" t="s">
        <v>10230</v>
      </c>
      <c r="C2190" s="90" t="s">
        <v>15</v>
      </c>
      <c r="D2190" s="90" t="str">
        <f>VLOOKUP(Tabela1[[#This Row],[Origem]],'Perguntas 1 a 24'!$J$28:$K$34,2,FALSE)</f>
        <v>Sudeste</v>
      </c>
      <c r="E2190" s="90" t="s">
        <v>13528</v>
      </c>
      <c r="F2190" s="91">
        <v>46787</v>
      </c>
      <c r="G2190" s="92">
        <v>34930</v>
      </c>
      <c r="H2190" s="90" t="s">
        <v>11</v>
      </c>
      <c r="I21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90" s="90" t="s">
        <v>10438</v>
      </c>
    </row>
    <row r="2191" spans="1:11">
      <c r="A2191" s="90" t="s">
        <v>10437</v>
      </c>
      <c r="B2191" s="90" t="s">
        <v>10438</v>
      </c>
      <c r="C2191" s="90" t="s">
        <v>10</v>
      </c>
      <c r="D2191" s="90" t="str">
        <f>VLOOKUP(Tabela1[[#This Row],[Origem]],'Perguntas 1 a 24'!$J$28:$K$34,2,FALSE)</f>
        <v>Centro-Oeste</v>
      </c>
      <c r="E2191" s="90" t="s">
        <v>13529</v>
      </c>
      <c r="F2191" s="91">
        <v>46788</v>
      </c>
      <c r="G2191" s="92">
        <v>74613</v>
      </c>
      <c r="H2191" s="90" t="s">
        <v>14</v>
      </c>
      <c r="I21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91" s="90" t="s">
        <v>5955</v>
      </c>
    </row>
    <row r="2192" spans="1:11">
      <c r="A2192" s="90" t="s">
        <v>5954</v>
      </c>
      <c r="B2192" s="90" t="s">
        <v>5955</v>
      </c>
      <c r="C2192" s="90" t="s">
        <v>13</v>
      </c>
      <c r="D2192" s="90" t="str">
        <f>VLOOKUP(Tabela1[[#This Row],[Origem]],'Perguntas 1 a 24'!$J$28:$K$34,2,FALSE)</f>
        <v>Sudeste</v>
      </c>
      <c r="E2192" s="90" t="s">
        <v>13530</v>
      </c>
      <c r="F2192" s="91">
        <v>46789</v>
      </c>
      <c r="G2192" s="92">
        <v>75114</v>
      </c>
      <c r="H2192" s="90" t="s">
        <v>9</v>
      </c>
      <c r="I21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92" s="90" t="s">
        <v>6497</v>
      </c>
    </row>
    <row r="2193" spans="1:11">
      <c r="A2193" s="90" t="s">
        <v>6496</v>
      </c>
      <c r="B2193" s="90" t="s">
        <v>6497</v>
      </c>
      <c r="C2193" s="90" t="s">
        <v>6</v>
      </c>
      <c r="D2193" s="90" t="str">
        <f>VLOOKUP(Tabela1[[#This Row],[Origem]],'Perguntas 1 a 24'!$J$28:$K$34,2,FALSE)</f>
        <v>Nordeste</v>
      </c>
      <c r="E2193" s="90" t="s">
        <v>13531</v>
      </c>
      <c r="F2193" s="91">
        <v>46789</v>
      </c>
      <c r="G2193" s="92">
        <v>43504</v>
      </c>
      <c r="H2193" s="90" t="s">
        <v>7</v>
      </c>
      <c r="I21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93" s="90" t="s">
        <v>9810</v>
      </c>
    </row>
    <row r="2194" spans="1:11">
      <c r="A2194" s="90" t="s">
        <v>9809</v>
      </c>
      <c r="B2194" s="90" t="s">
        <v>9810</v>
      </c>
      <c r="C2194" s="90" t="s">
        <v>10</v>
      </c>
      <c r="D2194" s="90" t="str">
        <f>VLOOKUP(Tabela1[[#This Row],[Origem]],'Perguntas 1 a 24'!$J$28:$K$34,2,FALSE)</f>
        <v>Centro-Oeste</v>
      </c>
      <c r="E2194" s="90" t="s">
        <v>13532</v>
      </c>
      <c r="F2194" s="91">
        <v>46789</v>
      </c>
      <c r="G2194" s="92">
        <v>38167</v>
      </c>
      <c r="H2194" s="90" t="s">
        <v>9</v>
      </c>
      <c r="I21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94" s="90" t="s">
        <v>10954</v>
      </c>
    </row>
    <row r="2195" spans="1:11">
      <c r="A2195" s="90" t="s">
        <v>10953</v>
      </c>
      <c r="B2195" s="90" t="s">
        <v>10954</v>
      </c>
      <c r="C2195" s="90" t="s">
        <v>6</v>
      </c>
      <c r="D2195" s="90" t="str">
        <f>VLOOKUP(Tabela1[[#This Row],[Origem]],'Perguntas 1 a 24'!$J$28:$K$34,2,FALSE)</f>
        <v>Nordeste</v>
      </c>
      <c r="E2195" s="90" t="s">
        <v>13533</v>
      </c>
      <c r="F2195" s="91">
        <v>46790</v>
      </c>
      <c r="G2195" s="92">
        <v>38596</v>
      </c>
      <c r="H2195" s="90" t="s">
        <v>14</v>
      </c>
      <c r="I21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95" s="90" t="s">
        <v>4863</v>
      </c>
    </row>
    <row r="2196" spans="1:11">
      <c r="A2196" s="90" t="s">
        <v>4862</v>
      </c>
      <c r="B2196" s="90" t="s">
        <v>4863</v>
      </c>
      <c r="C2196" s="90" t="s">
        <v>10</v>
      </c>
      <c r="D2196" s="90" t="str">
        <f>VLOOKUP(Tabela1[[#This Row],[Origem]],'Perguntas 1 a 24'!$J$28:$K$34,2,FALSE)</f>
        <v>Centro-Oeste</v>
      </c>
      <c r="E2196" s="90" t="s">
        <v>13534</v>
      </c>
      <c r="F2196" s="91">
        <v>46791</v>
      </c>
      <c r="G2196" s="92">
        <v>24542</v>
      </c>
      <c r="H2196" s="90" t="s">
        <v>11</v>
      </c>
      <c r="I21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96" s="90" t="s">
        <v>5331</v>
      </c>
    </row>
    <row r="2197" spans="1:11">
      <c r="A2197" s="90" t="s">
        <v>5330</v>
      </c>
      <c r="B2197" s="90" t="s">
        <v>5331</v>
      </c>
      <c r="C2197" s="90" t="s">
        <v>16</v>
      </c>
      <c r="D2197" s="90" t="str">
        <f>VLOOKUP(Tabela1[[#This Row],[Origem]],'Perguntas 1 a 24'!$J$28:$K$34,2,FALSE)</f>
        <v>Sudeste</v>
      </c>
      <c r="E2197" s="90" t="s">
        <v>13535</v>
      </c>
      <c r="F2197" s="91">
        <v>46791</v>
      </c>
      <c r="G2197" s="92">
        <v>53423</v>
      </c>
      <c r="H2197" s="90" t="s">
        <v>11</v>
      </c>
      <c r="I21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97" s="90" t="s">
        <v>7697</v>
      </c>
    </row>
    <row r="2198" spans="1:11">
      <c r="A2198" s="90" t="s">
        <v>7696</v>
      </c>
      <c r="B2198" s="90" t="s">
        <v>7697</v>
      </c>
      <c r="C2198" s="90" t="s">
        <v>12</v>
      </c>
      <c r="D2198" s="90" t="str">
        <f>VLOOKUP(Tabela1[[#This Row],[Origem]],'Perguntas 1 a 24'!$J$28:$K$34,2,FALSE)</f>
        <v>Sudeste</v>
      </c>
      <c r="E2198" s="90" t="s">
        <v>13536</v>
      </c>
      <c r="F2198" s="91">
        <v>46791</v>
      </c>
      <c r="G2198" s="92">
        <v>112706</v>
      </c>
      <c r="H2198" s="90" t="s">
        <v>7</v>
      </c>
      <c r="I21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198" s="90" t="s">
        <v>4925</v>
      </c>
    </row>
    <row r="2199" spans="1:11">
      <c r="A2199" s="90" t="s">
        <v>4924</v>
      </c>
      <c r="B2199" s="90" t="s">
        <v>4925</v>
      </c>
      <c r="C2199" s="90" t="s">
        <v>12</v>
      </c>
      <c r="D2199" s="90" t="str">
        <f>VLOOKUP(Tabela1[[#This Row],[Origem]],'Perguntas 1 a 24'!$J$28:$K$34,2,FALSE)</f>
        <v>Sudeste</v>
      </c>
      <c r="E2199" s="90" t="s">
        <v>13537</v>
      </c>
      <c r="F2199" s="91">
        <v>46792</v>
      </c>
      <c r="G2199" s="92">
        <v>28199</v>
      </c>
      <c r="H2199" s="90" t="s">
        <v>14</v>
      </c>
      <c r="I21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199" s="90" t="s">
        <v>7457</v>
      </c>
    </row>
    <row r="2200" spans="1:11">
      <c r="A2200" s="90" t="s">
        <v>7456</v>
      </c>
      <c r="B2200" s="90" t="s">
        <v>7457</v>
      </c>
      <c r="C2200" s="90" t="s">
        <v>13</v>
      </c>
      <c r="D2200" s="90" t="str">
        <f>VLOOKUP(Tabela1[[#This Row],[Origem]],'Perguntas 1 a 24'!$J$28:$K$34,2,FALSE)</f>
        <v>Sudeste</v>
      </c>
      <c r="E2200" s="90" t="s">
        <v>13538</v>
      </c>
      <c r="F2200" s="91">
        <v>46792</v>
      </c>
      <c r="G2200" s="92">
        <v>81404</v>
      </c>
      <c r="H2200" s="90" t="s">
        <v>11</v>
      </c>
      <c r="I22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00" s="90" t="s">
        <v>4228</v>
      </c>
    </row>
    <row r="2201" spans="1:11">
      <c r="A2201" s="90" t="s">
        <v>4227</v>
      </c>
      <c r="B2201" s="90" t="s">
        <v>4228</v>
      </c>
      <c r="C2201" s="90" t="s">
        <v>6</v>
      </c>
      <c r="D2201" s="90" t="str">
        <f>VLOOKUP(Tabela1[[#This Row],[Origem]],'Perguntas 1 a 24'!$J$28:$K$34,2,FALSE)</f>
        <v>Nordeste</v>
      </c>
      <c r="E2201" s="90" t="s">
        <v>13539</v>
      </c>
      <c r="F2201" s="91">
        <v>46793</v>
      </c>
      <c r="G2201" s="92">
        <v>36142</v>
      </c>
      <c r="H2201" s="90" t="s">
        <v>11</v>
      </c>
      <c r="I22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01" s="90" t="s">
        <v>6733</v>
      </c>
    </row>
    <row r="2202" spans="1:11">
      <c r="A2202" s="90" t="s">
        <v>6732</v>
      </c>
      <c r="B2202" s="90" t="s">
        <v>6733</v>
      </c>
      <c r="C2202" s="90" t="s">
        <v>15</v>
      </c>
      <c r="D2202" s="90" t="str">
        <f>VLOOKUP(Tabela1[[#This Row],[Origem]],'Perguntas 1 a 24'!$J$28:$K$34,2,FALSE)</f>
        <v>Sudeste</v>
      </c>
      <c r="E2202" s="90" t="s">
        <v>13540</v>
      </c>
      <c r="F2202" s="91">
        <v>46793</v>
      </c>
      <c r="G2202" s="92">
        <v>104919</v>
      </c>
      <c r="H2202" s="90" t="s">
        <v>14</v>
      </c>
      <c r="I22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02" s="90" t="s">
        <v>5405</v>
      </c>
    </row>
    <row r="2203" spans="1:11">
      <c r="A2203" s="90" t="s">
        <v>5404</v>
      </c>
      <c r="B2203" s="90" t="s">
        <v>5405</v>
      </c>
      <c r="C2203" s="90" t="s">
        <v>6</v>
      </c>
      <c r="D2203" s="90" t="str">
        <f>VLOOKUP(Tabela1[[#This Row],[Origem]],'Perguntas 1 a 24'!$J$28:$K$34,2,FALSE)</f>
        <v>Nordeste</v>
      </c>
      <c r="E2203" s="90" t="s">
        <v>13541</v>
      </c>
      <c r="F2203" s="91">
        <v>46794</v>
      </c>
      <c r="G2203" s="92">
        <v>43384</v>
      </c>
      <c r="H2203" s="90" t="s">
        <v>14</v>
      </c>
      <c r="I22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03" s="90" t="s">
        <v>7399</v>
      </c>
    </row>
    <row r="2204" spans="1:11">
      <c r="A2204" s="90" t="s">
        <v>7398</v>
      </c>
      <c r="B2204" s="90" t="s">
        <v>7399</v>
      </c>
      <c r="C2204" s="90" t="s">
        <v>15</v>
      </c>
      <c r="D2204" s="90" t="str">
        <f>VLOOKUP(Tabela1[[#This Row],[Origem]],'Perguntas 1 a 24'!$J$28:$K$34,2,FALSE)</f>
        <v>Sudeste</v>
      </c>
      <c r="E2204" s="90" t="s">
        <v>13542</v>
      </c>
      <c r="F2204" s="91">
        <v>46796</v>
      </c>
      <c r="G2204" s="92">
        <v>116487</v>
      </c>
      <c r="H2204" s="90" t="s">
        <v>11</v>
      </c>
      <c r="I22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04" s="90" t="s">
        <v>9762</v>
      </c>
    </row>
    <row r="2205" spans="1:11">
      <c r="A2205" s="90" t="s">
        <v>9761</v>
      </c>
      <c r="B2205" s="90" t="s">
        <v>9762</v>
      </c>
      <c r="C2205" s="90" t="s">
        <v>12</v>
      </c>
      <c r="D2205" s="90" t="str">
        <f>VLOOKUP(Tabela1[[#This Row],[Origem]],'Perguntas 1 a 24'!$J$28:$K$34,2,FALSE)</f>
        <v>Sudeste</v>
      </c>
      <c r="E2205" s="90" t="s">
        <v>13543</v>
      </c>
      <c r="F2205" s="91">
        <v>46796</v>
      </c>
      <c r="G2205" s="92">
        <v>39956</v>
      </c>
      <c r="H2205" s="90" t="s">
        <v>7</v>
      </c>
      <c r="I22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05" s="90" t="s">
        <v>3883</v>
      </c>
    </row>
    <row r="2206" spans="1:11">
      <c r="A2206" s="90" t="s">
        <v>3882</v>
      </c>
      <c r="B2206" s="90" t="s">
        <v>3883</v>
      </c>
      <c r="C2206" s="90" t="s">
        <v>6</v>
      </c>
      <c r="D2206" s="90" t="str">
        <f>VLOOKUP(Tabela1[[#This Row],[Origem]],'Perguntas 1 a 24'!$J$28:$K$34,2,FALSE)</f>
        <v>Nordeste</v>
      </c>
      <c r="E2206" s="90" t="s">
        <v>13544</v>
      </c>
      <c r="F2206" s="91">
        <v>46797</v>
      </c>
      <c r="G2206" s="92">
        <v>65099</v>
      </c>
      <c r="H2206" s="90" t="s">
        <v>7</v>
      </c>
      <c r="I22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06" s="90" t="s">
        <v>5293</v>
      </c>
    </row>
    <row r="2207" spans="1:11">
      <c r="A2207" s="90" t="s">
        <v>5292</v>
      </c>
      <c r="B2207" s="90" t="s">
        <v>5293</v>
      </c>
      <c r="C2207" s="90" t="s">
        <v>12</v>
      </c>
      <c r="D2207" s="90" t="str">
        <f>VLOOKUP(Tabela1[[#This Row],[Origem]],'Perguntas 1 a 24'!$J$28:$K$34,2,FALSE)</f>
        <v>Sudeste</v>
      </c>
      <c r="E2207" s="90" t="s">
        <v>13545</v>
      </c>
      <c r="F2207" s="91">
        <v>46797</v>
      </c>
      <c r="G2207" s="92">
        <v>33788</v>
      </c>
      <c r="H2207" s="90" t="s">
        <v>11</v>
      </c>
      <c r="I22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07" s="90" t="s">
        <v>6567</v>
      </c>
    </row>
    <row r="2208" spans="1:11">
      <c r="A2208" s="90" t="s">
        <v>6566</v>
      </c>
      <c r="B2208" s="90" t="s">
        <v>6567</v>
      </c>
      <c r="C2208" s="90" t="s">
        <v>13</v>
      </c>
      <c r="D2208" s="90" t="str">
        <f>VLOOKUP(Tabela1[[#This Row],[Origem]],'Perguntas 1 a 24'!$J$28:$K$34,2,FALSE)</f>
        <v>Sudeste</v>
      </c>
      <c r="E2208" s="90" t="s">
        <v>13546</v>
      </c>
      <c r="F2208" s="91">
        <v>46797</v>
      </c>
      <c r="G2208" s="92">
        <v>117224</v>
      </c>
      <c r="H2208" s="90" t="s">
        <v>11</v>
      </c>
      <c r="I22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08" s="90" t="s">
        <v>7001</v>
      </c>
    </row>
    <row r="2209" spans="1:11">
      <c r="A2209" s="90" t="s">
        <v>7000</v>
      </c>
      <c r="B2209" s="90" t="s">
        <v>7001</v>
      </c>
      <c r="C2209" s="90" t="s">
        <v>8</v>
      </c>
      <c r="D2209" s="90" t="str">
        <f>VLOOKUP(Tabela1[[#This Row],[Origem]],'Perguntas 1 a 24'!$J$28:$K$34,2,FALSE)</f>
        <v>Nordeste</v>
      </c>
      <c r="E2209" s="90" t="s">
        <v>13547</v>
      </c>
      <c r="F2209" s="91">
        <v>46797</v>
      </c>
      <c r="G2209" s="92">
        <v>108662</v>
      </c>
      <c r="H2209" s="90" t="s">
        <v>7</v>
      </c>
      <c r="I22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09" s="90" t="s">
        <v>9086</v>
      </c>
    </row>
    <row r="2210" spans="1:11">
      <c r="A2210" s="90" t="s">
        <v>9085</v>
      </c>
      <c r="B2210" s="90" t="s">
        <v>9086</v>
      </c>
      <c r="C2210" s="90" t="s">
        <v>12</v>
      </c>
      <c r="D2210" s="90" t="str">
        <f>VLOOKUP(Tabela1[[#This Row],[Origem]],'Perguntas 1 a 24'!$J$28:$K$34,2,FALSE)</f>
        <v>Sudeste</v>
      </c>
      <c r="E2210" s="90" t="s">
        <v>13548</v>
      </c>
      <c r="F2210" s="91">
        <v>46797</v>
      </c>
      <c r="G2210" s="92">
        <v>92952</v>
      </c>
      <c r="H2210" s="90" t="s">
        <v>9</v>
      </c>
      <c r="I22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10" s="90" t="s">
        <v>9248</v>
      </c>
    </row>
    <row r="2211" spans="1:11">
      <c r="A2211" s="90" t="s">
        <v>9247</v>
      </c>
      <c r="B2211" s="90" t="s">
        <v>9248</v>
      </c>
      <c r="C2211" s="90" t="s">
        <v>10</v>
      </c>
      <c r="D2211" s="90" t="str">
        <f>VLOOKUP(Tabela1[[#This Row],[Origem]],'Perguntas 1 a 24'!$J$28:$K$34,2,FALSE)</f>
        <v>Centro-Oeste</v>
      </c>
      <c r="E2211" s="90" t="s">
        <v>13549</v>
      </c>
      <c r="F2211" s="91">
        <v>46797</v>
      </c>
      <c r="G2211" s="92">
        <v>21244</v>
      </c>
      <c r="H2211" s="90" t="s">
        <v>14</v>
      </c>
      <c r="I22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11" s="90" t="s">
        <v>11132</v>
      </c>
    </row>
    <row r="2212" spans="1:11">
      <c r="A2212" s="90" t="s">
        <v>11131</v>
      </c>
      <c r="B2212" s="90" t="s">
        <v>11132</v>
      </c>
      <c r="C2212" s="90" t="s">
        <v>12</v>
      </c>
      <c r="D2212" s="90" t="str">
        <f>VLOOKUP(Tabela1[[#This Row],[Origem]],'Perguntas 1 a 24'!$J$28:$K$34,2,FALSE)</f>
        <v>Sudeste</v>
      </c>
      <c r="E2212" s="90" t="s">
        <v>13550</v>
      </c>
      <c r="F2212" s="91">
        <v>46797</v>
      </c>
      <c r="G2212" s="92">
        <v>43181</v>
      </c>
      <c r="H2212" s="90" t="s">
        <v>7</v>
      </c>
      <c r="I22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12" s="90" t="s">
        <v>5545</v>
      </c>
    </row>
    <row r="2213" spans="1:11">
      <c r="A2213" s="90" t="s">
        <v>5544</v>
      </c>
      <c r="B2213" s="90" t="s">
        <v>5545</v>
      </c>
      <c r="C2213" s="90" t="s">
        <v>8</v>
      </c>
      <c r="D2213" s="90" t="str">
        <f>VLOOKUP(Tabela1[[#This Row],[Origem]],'Perguntas 1 a 24'!$J$28:$K$34,2,FALSE)</f>
        <v>Nordeste</v>
      </c>
      <c r="E2213" s="90" t="s">
        <v>13551</v>
      </c>
      <c r="F2213" s="91">
        <v>46799</v>
      </c>
      <c r="G2213" s="92">
        <v>38243</v>
      </c>
      <c r="H2213" s="90" t="s">
        <v>9</v>
      </c>
      <c r="I22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13" s="90" t="s">
        <v>5569</v>
      </c>
    </row>
    <row r="2214" spans="1:11">
      <c r="A2214" s="90" t="s">
        <v>5568</v>
      </c>
      <c r="B2214" s="90" t="s">
        <v>5569</v>
      </c>
      <c r="C2214" s="90" t="s">
        <v>15</v>
      </c>
      <c r="D2214" s="90" t="str">
        <f>VLOOKUP(Tabela1[[#This Row],[Origem]],'Perguntas 1 a 24'!$J$28:$K$34,2,FALSE)</f>
        <v>Sudeste</v>
      </c>
      <c r="E2214" s="90" t="s">
        <v>13552</v>
      </c>
      <c r="F2214" s="91">
        <v>46799</v>
      </c>
      <c r="G2214" s="92">
        <v>38042</v>
      </c>
      <c r="H2214" s="90" t="s">
        <v>14</v>
      </c>
      <c r="I22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14" s="90" t="s">
        <v>10274</v>
      </c>
    </row>
    <row r="2215" spans="1:11">
      <c r="A2215" s="90" t="s">
        <v>10273</v>
      </c>
      <c r="B2215" s="90" t="s">
        <v>10274</v>
      </c>
      <c r="C2215" s="90" t="s">
        <v>13</v>
      </c>
      <c r="D2215" s="90" t="str">
        <f>VLOOKUP(Tabela1[[#This Row],[Origem]],'Perguntas 1 a 24'!$J$28:$K$34,2,FALSE)</f>
        <v>Sudeste</v>
      </c>
      <c r="E2215" s="90" t="s">
        <v>13553</v>
      </c>
      <c r="F2215" s="91">
        <v>46799</v>
      </c>
      <c r="G2215" s="92">
        <v>31157</v>
      </c>
      <c r="H2215" s="90" t="s">
        <v>11</v>
      </c>
      <c r="I22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15" s="90" t="s">
        <v>5195</v>
      </c>
    </row>
    <row r="2216" spans="1:11">
      <c r="A2216" s="90" t="s">
        <v>5194</v>
      </c>
      <c r="B2216" s="90" t="s">
        <v>5195</v>
      </c>
      <c r="C2216" s="90" t="s">
        <v>10</v>
      </c>
      <c r="D2216" s="90" t="str">
        <f>VLOOKUP(Tabela1[[#This Row],[Origem]],'Perguntas 1 a 24'!$J$28:$K$34,2,FALSE)</f>
        <v>Centro-Oeste</v>
      </c>
      <c r="E2216" s="90" t="s">
        <v>13554</v>
      </c>
      <c r="F2216" s="91">
        <v>46800</v>
      </c>
      <c r="G2216" s="92">
        <v>40536</v>
      </c>
      <c r="H2216" s="90" t="s">
        <v>9</v>
      </c>
      <c r="I22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16" s="90" t="s">
        <v>6765</v>
      </c>
    </row>
    <row r="2217" spans="1:11">
      <c r="A2217" s="90" t="s">
        <v>6764</v>
      </c>
      <c r="B2217" s="90" t="s">
        <v>6765</v>
      </c>
      <c r="C2217" s="90" t="s">
        <v>13</v>
      </c>
      <c r="D2217" s="90" t="str">
        <f>VLOOKUP(Tabela1[[#This Row],[Origem]],'Perguntas 1 a 24'!$J$28:$K$34,2,FALSE)</f>
        <v>Sudeste</v>
      </c>
      <c r="E2217" s="90" t="s">
        <v>13555</v>
      </c>
      <c r="F2217" s="91">
        <v>46800</v>
      </c>
      <c r="G2217" s="92">
        <v>68795</v>
      </c>
      <c r="H2217" s="90" t="s">
        <v>14</v>
      </c>
      <c r="I22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17" s="90" t="s">
        <v>10200</v>
      </c>
    </row>
    <row r="2218" spans="1:11">
      <c r="A2218" s="90" t="s">
        <v>10199</v>
      </c>
      <c r="B2218" s="90" t="s">
        <v>10200</v>
      </c>
      <c r="C2218" s="90" t="s">
        <v>12</v>
      </c>
      <c r="D2218" s="90" t="str">
        <f>VLOOKUP(Tabela1[[#This Row],[Origem]],'Perguntas 1 a 24'!$J$28:$K$34,2,FALSE)</f>
        <v>Sudeste</v>
      </c>
      <c r="E2218" s="90" t="s">
        <v>13556</v>
      </c>
      <c r="F2218" s="91">
        <v>46800</v>
      </c>
      <c r="G2218" s="92">
        <v>50662</v>
      </c>
      <c r="H2218" s="90" t="s">
        <v>14</v>
      </c>
      <c r="I22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18" s="90" t="s">
        <v>4723</v>
      </c>
    </row>
    <row r="2219" spans="1:11">
      <c r="A2219" s="90" t="s">
        <v>4722</v>
      </c>
      <c r="B2219" s="90" t="s">
        <v>4723</v>
      </c>
      <c r="C2219" s="90" t="s">
        <v>15</v>
      </c>
      <c r="D2219" s="90" t="str">
        <f>VLOOKUP(Tabela1[[#This Row],[Origem]],'Perguntas 1 a 24'!$J$28:$K$34,2,FALSE)</f>
        <v>Sudeste</v>
      </c>
      <c r="E2219" s="90" t="s">
        <v>13557</v>
      </c>
      <c r="F2219" s="91">
        <v>46801</v>
      </c>
      <c r="G2219" s="92">
        <v>42159</v>
      </c>
      <c r="H2219" s="90" t="s">
        <v>7</v>
      </c>
      <c r="I22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19" s="90" t="s">
        <v>10764</v>
      </c>
    </row>
    <row r="2220" spans="1:11">
      <c r="A2220" s="90" t="s">
        <v>10763</v>
      </c>
      <c r="B2220" s="90" t="s">
        <v>10764</v>
      </c>
      <c r="C2220" s="90" t="s">
        <v>16</v>
      </c>
      <c r="D2220" s="90" t="str">
        <f>VLOOKUP(Tabela1[[#This Row],[Origem]],'Perguntas 1 a 24'!$J$28:$K$34,2,FALSE)</f>
        <v>Sudeste</v>
      </c>
      <c r="E2220" s="90" t="s">
        <v>13558</v>
      </c>
      <c r="F2220" s="91">
        <v>46801</v>
      </c>
      <c r="G2220" s="92">
        <v>114488</v>
      </c>
      <c r="H2220" s="90" t="s">
        <v>14</v>
      </c>
      <c r="I22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20" s="90" t="s">
        <v>5533</v>
      </c>
    </row>
    <row r="2221" spans="1:11">
      <c r="A2221" s="90" t="s">
        <v>5532</v>
      </c>
      <c r="B2221" s="90" t="s">
        <v>5533</v>
      </c>
      <c r="C2221" s="90" t="s">
        <v>13</v>
      </c>
      <c r="D2221" s="90" t="str">
        <f>VLOOKUP(Tabela1[[#This Row],[Origem]],'Perguntas 1 a 24'!$J$28:$K$34,2,FALSE)</f>
        <v>Sudeste</v>
      </c>
      <c r="E2221" s="90" t="s">
        <v>13559</v>
      </c>
      <c r="F2221" s="91">
        <v>46803</v>
      </c>
      <c r="G2221" s="92">
        <v>70263</v>
      </c>
      <c r="H2221" s="90" t="s">
        <v>7</v>
      </c>
      <c r="I22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21" s="90" t="s">
        <v>5113</v>
      </c>
    </row>
    <row r="2222" spans="1:11">
      <c r="A2222" s="90" t="s">
        <v>5112</v>
      </c>
      <c r="B2222" s="90" t="s">
        <v>5113</v>
      </c>
      <c r="C2222" s="90" t="s">
        <v>15</v>
      </c>
      <c r="D2222" s="90" t="str">
        <f>VLOOKUP(Tabela1[[#This Row],[Origem]],'Perguntas 1 a 24'!$J$28:$K$34,2,FALSE)</f>
        <v>Sudeste</v>
      </c>
      <c r="E2222" s="90" t="s">
        <v>13560</v>
      </c>
      <c r="F2222" s="91">
        <v>46804</v>
      </c>
      <c r="G2222" s="92">
        <v>40816</v>
      </c>
      <c r="H2222" s="90" t="s">
        <v>9</v>
      </c>
      <c r="I22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22" s="90" t="s">
        <v>10562</v>
      </c>
    </row>
    <row r="2223" spans="1:11">
      <c r="A2223" s="90" t="s">
        <v>10561</v>
      </c>
      <c r="B2223" s="90" t="s">
        <v>10562</v>
      </c>
      <c r="C2223" s="90" t="s">
        <v>13</v>
      </c>
      <c r="D2223" s="90" t="str">
        <f>VLOOKUP(Tabela1[[#This Row],[Origem]],'Perguntas 1 a 24'!$J$28:$K$34,2,FALSE)</f>
        <v>Sudeste</v>
      </c>
      <c r="E2223" s="90" t="s">
        <v>13561</v>
      </c>
      <c r="F2223" s="91">
        <v>46805</v>
      </c>
      <c r="G2223" s="92">
        <v>97842</v>
      </c>
      <c r="H2223" s="90" t="s">
        <v>9</v>
      </c>
      <c r="I22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23" s="90" t="s">
        <v>10614</v>
      </c>
    </row>
    <row r="2224" spans="1:11">
      <c r="A2224" s="90" t="s">
        <v>10613</v>
      </c>
      <c r="B2224" s="90" t="s">
        <v>10614</v>
      </c>
      <c r="C2224" s="90" t="s">
        <v>8</v>
      </c>
      <c r="D2224" s="90" t="str">
        <f>VLOOKUP(Tabela1[[#This Row],[Origem]],'Perguntas 1 a 24'!$J$28:$K$34,2,FALSE)</f>
        <v>Nordeste</v>
      </c>
      <c r="E2224" s="90" t="s">
        <v>13562</v>
      </c>
      <c r="F2224" s="91">
        <v>46805</v>
      </c>
      <c r="G2224" s="92">
        <v>31749</v>
      </c>
      <c r="H2224" s="90" t="s">
        <v>9</v>
      </c>
      <c r="I22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24" s="90" t="s">
        <v>4121</v>
      </c>
    </row>
    <row r="2225" spans="1:11">
      <c r="A2225" s="90" t="s">
        <v>4120</v>
      </c>
      <c r="B2225" s="90" t="s">
        <v>4121</v>
      </c>
      <c r="C2225" s="90" t="s">
        <v>16</v>
      </c>
      <c r="D2225" s="90" t="str">
        <f>VLOOKUP(Tabela1[[#This Row],[Origem]],'Perguntas 1 a 24'!$J$28:$K$34,2,FALSE)</f>
        <v>Sudeste</v>
      </c>
      <c r="E2225" s="90" t="s">
        <v>13563</v>
      </c>
      <c r="F2225" s="91">
        <v>46806</v>
      </c>
      <c r="G2225" s="92">
        <v>44064</v>
      </c>
      <c r="H2225" s="90" t="s">
        <v>11</v>
      </c>
      <c r="I22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25" s="90" t="s">
        <v>8890</v>
      </c>
    </row>
    <row r="2226" spans="1:11">
      <c r="A2226" s="90" t="s">
        <v>8889</v>
      </c>
      <c r="B2226" s="90" t="s">
        <v>8890</v>
      </c>
      <c r="C2226" s="90" t="s">
        <v>15</v>
      </c>
      <c r="D2226" s="90" t="str">
        <f>VLOOKUP(Tabela1[[#This Row],[Origem]],'Perguntas 1 a 24'!$J$28:$K$34,2,FALSE)</f>
        <v>Sudeste</v>
      </c>
      <c r="E2226" s="90" t="s">
        <v>13564</v>
      </c>
      <c r="F2226" s="91">
        <v>46806</v>
      </c>
      <c r="G2226" s="92">
        <v>53528</v>
      </c>
      <c r="H2226" s="90" t="s">
        <v>14</v>
      </c>
      <c r="I22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26" s="90" t="s">
        <v>10512</v>
      </c>
    </row>
    <row r="2227" spans="1:11">
      <c r="A2227" s="90" t="s">
        <v>10511</v>
      </c>
      <c r="B2227" s="90" t="s">
        <v>10512</v>
      </c>
      <c r="C2227" s="90" t="s">
        <v>8</v>
      </c>
      <c r="D2227" s="90" t="str">
        <f>VLOOKUP(Tabela1[[#This Row],[Origem]],'Perguntas 1 a 24'!$J$28:$K$34,2,FALSE)</f>
        <v>Nordeste</v>
      </c>
      <c r="E2227" s="90" t="s">
        <v>13565</v>
      </c>
      <c r="F2227" s="91">
        <v>46806</v>
      </c>
      <c r="G2227" s="92">
        <v>61960</v>
      </c>
      <c r="H2227" s="90" t="s">
        <v>7</v>
      </c>
      <c r="I22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27" s="90" t="s">
        <v>5361</v>
      </c>
    </row>
    <row r="2228" spans="1:11">
      <c r="A2228" s="90" t="s">
        <v>5360</v>
      </c>
      <c r="B2228" s="90" t="s">
        <v>5361</v>
      </c>
      <c r="C2228" s="90" t="s">
        <v>6</v>
      </c>
      <c r="D2228" s="90" t="str">
        <f>VLOOKUP(Tabela1[[#This Row],[Origem]],'Perguntas 1 a 24'!$J$28:$K$34,2,FALSE)</f>
        <v>Nordeste</v>
      </c>
      <c r="E2228" s="90" t="s">
        <v>13566</v>
      </c>
      <c r="F2228" s="91">
        <v>46808</v>
      </c>
      <c r="G2228" s="92">
        <v>73640</v>
      </c>
      <c r="H2228" s="90" t="s">
        <v>9</v>
      </c>
      <c r="I22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28" s="90" t="s">
        <v>8886</v>
      </c>
    </row>
    <row r="2229" spans="1:11">
      <c r="A2229" s="90" t="s">
        <v>8885</v>
      </c>
      <c r="B2229" s="90" t="s">
        <v>8886</v>
      </c>
      <c r="C2229" s="90" t="s">
        <v>6</v>
      </c>
      <c r="D2229" s="90" t="str">
        <f>VLOOKUP(Tabela1[[#This Row],[Origem]],'Perguntas 1 a 24'!$J$28:$K$34,2,FALSE)</f>
        <v>Nordeste</v>
      </c>
      <c r="E2229" s="90" t="s">
        <v>13567</v>
      </c>
      <c r="F2229" s="91">
        <v>46808</v>
      </c>
      <c r="G2229" s="92">
        <v>38925</v>
      </c>
      <c r="H2229" s="90" t="s">
        <v>9</v>
      </c>
      <c r="I22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29" s="90" t="s">
        <v>10402</v>
      </c>
    </row>
    <row r="2230" spans="1:11">
      <c r="A2230" s="90" t="s">
        <v>10401</v>
      </c>
      <c r="B2230" s="90" t="s">
        <v>10402</v>
      </c>
      <c r="C2230" s="90" t="s">
        <v>10</v>
      </c>
      <c r="D2230" s="90" t="str">
        <f>VLOOKUP(Tabela1[[#This Row],[Origem]],'Perguntas 1 a 24'!$J$28:$K$34,2,FALSE)</f>
        <v>Centro-Oeste</v>
      </c>
      <c r="E2230" s="90" t="s">
        <v>13568</v>
      </c>
      <c r="F2230" s="91">
        <v>46809</v>
      </c>
      <c r="G2230" s="92">
        <v>83671</v>
      </c>
      <c r="H2230" s="90" t="s">
        <v>7</v>
      </c>
      <c r="I22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30" s="90" t="s">
        <v>4432</v>
      </c>
    </row>
    <row r="2231" spans="1:11">
      <c r="A2231" s="90" t="s">
        <v>4431</v>
      </c>
      <c r="B2231" s="90" t="s">
        <v>4432</v>
      </c>
      <c r="C2231" s="90" t="s">
        <v>16</v>
      </c>
      <c r="D2231" s="90" t="str">
        <f>VLOOKUP(Tabela1[[#This Row],[Origem]],'Perguntas 1 a 24'!$J$28:$K$34,2,FALSE)</f>
        <v>Sudeste</v>
      </c>
      <c r="E2231" s="90" t="s">
        <v>13569</v>
      </c>
      <c r="F2231" s="91">
        <v>46810</v>
      </c>
      <c r="G2231" s="92">
        <v>85633</v>
      </c>
      <c r="H2231" s="90" t="s">
        <v>9</v>
      </c>
      <c r="I22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31" s="90" t="s">
        <v>5497</v>
      </c>
    </row>
    <row r="2232" spans="1:11">
      <c r="A2232" s="90" t="s">
        <v>5496</v>
      </c>
      <c r="B2232" s="90" t="s">
        <v>5497</v>
      </c>
      <c r="C2232" s="90" t="s">
        <v>16</v>
      </c>
      <c r="D2232" s="90" t="str">
        <f>VLOOKUP(Tabela1[[#This Row],[Origem]],'Perguntas 1 a 24'!$J$28:$K$34,2,FALSE)</f>
        <v>Sudeste</v>
      </c>
      <c r="E2232" s="90" t="s">
        <v>13570</v>
      </c>
      <c r="F2232" s="91">
        <v>46810</v>
      </c>
      <c r="G2232" s="92">
        <v>23439</v>
      </c>
      <c r="H2232" s="90" t="s">
        <v>7</v>
      </c>
      <c r="I22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32" s="90" t="s">
        <v>6703</v>
      </c>
    </row>
    <row r="2233" spans="1:11">
      <c r="A2233" s="90" t="s">
        <v>6702</v>
      </c>
      <c r="B2233" s="90" t="s">
        <v>6703</v>
      </c>
      <c r="C2233" s="90" t="s">
        <v>16</v>
      </c>
      <c r="D2233" s="90" t="str">
        <f>VLOOKUP(Tabela1[[#This Row],[Origem]],'Perguntas 1 a 24'!$J$28:$K$34,2,FALSE)</f>
        <v>Sudeste</v>
      </c>
      <c r="E2233" s="90" t="s">
        <v>13571</v>
      </c>
      <c r="F2233" s="91">
        <v>46810</v>
      </c>
      <c r="G2233" s="92">
        <v>43887</v>
      </c>
      <c r="H2233" s="90" t="s">
        <v>7</v>
      </c>
      <c r="I22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33" s="90" t="s">
        <v>6687</v>
      </c>
    </row>
    <row r="2234" spans="1:11">
      <c r="A2234" s="90" t="s">
        <v>6686</v>
      </c>
      <c r="B2234" s="90" t="s">
        <v>6687</v>
      </c>
      <c r="C2234" s="90" t="s">
        <v>16</v>
      </c>
      <c r="D2234" s="90" t="str">
        <f>VLOOKUP(Tabela1[[#This Row],[Origem]],'Perguntas 1 a 24'!$J$28:$K$34,2,FALSE)</f>
        <v>Sudeste</v>
      </c>
      <c r="E2234" s="90" t="s">
        <v>13572</v>
      </c>
      <c r="F2234" s="91">
        <v>46811</v>
      </c>
      <c r="G2234" s="92">
        <v>72258</v>
      </c>
      <c r="H2234" s="90" t="s">
        <v>11</v>
      </c>
      <c r="I22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34" s="90" t="s">
        <v>3907</v>
      </c>
    </row>
    <row r="2235" spans="1:11">
      <c r="A2235" s="90" t="s">
        <v>3906</v>
      </c>
      <c r="B2235" s="90" t="s">
        <v>3907</v>
      </c>
      <c r="C2235" s="90" t="s">
        <v>15</v>
      </c>
      <c r="D2235" s="90" t="str">
        <f>VLOOKUP(Tabela1[[#This Row],[Origem]],'Perguntas 1 a 24'!$J$28:$K$34,2,FALSE)</f>
        <v>Sudeste</v>
      </c>
      <c r="E2235" s="90" t="s">
        <v>13573</v>
      </c>
      <c r="F2235" s="91">
        <v>46813</v>
      </c>
      <c r="G2235" s="92">
        <v>76039</v>
      </c>
      <c r="H2235" s="90" t="s">
        <v>14</v>
      </c>
      <c r="I22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35" s="90" t="s">
        <v>9594</v>
      </c>
    </row>
    <row r="2236" spans="1:11">
      <c r="A2236" s="90" t="s">
        <v>9593</v>
      </c>
      <c r="B2236" s="90" t="s">
        <v>9594</v>
      </c>
      <c r="C2236" s="90" t="s">
        <v>6</v>
      </c>
      <c r="D2236" s="90" t="str">
        <f>VLOOKUP(Tabela1[[#This Row],[Origem]],'Perguntas 1 a 24'!$J$28:$K$34,2,FALSE)</f>
        <v>Nordeste</v>
      </c>
      <c r="E2236" s="90" t="s">
        <v>13574</v>
      </c>
      <c r="F2236" s="91">
        <v>46813</v>
      </c>
      <c r="G2236" s="92">
        <v>112296</v>
      </c>
      <c r="H2236" s="90" t="s">
        <v>14</v>
      </c>
      <c r="I22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36" s="90" t="s">
        <v>10306</v>
      </c>
    </row>
    <row r="2237" spans="1:11">
      <c r="A2237" s="90" t="s">
        <v>10305</v>
      </c>
      <c r="B2237" s="90" t="s">
        <v>10306</v>
      </c>
      <c r="C2237" s="90" t="s">
        <v>13</v>
      </c>
      <c r="D2237" s="90" t="str">
        <f>VLOOKUP(Tabela1[[#This Row],[Origem]],'Perguntas 1 a 24'!$J$28:$K$34,2,FALSE)</f>
        <v>Sudeste</v>
      </c>
      <c r="E2237" s="90" t="s">
        <v>13575</v>
      </c>
      <c r="F2237" s="91">
        <v>46816</v>
      </c>
      <c r="G2237" s="92">
        <v>119869</v>
      </c>
      <c r="H2237" s="90" t="s">
        <v>11</v>
      </c>
      <c r="I22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37" s="90" t="s">
        <v>8205</v>
      </c>
    </row>
    <row r="2238" spans="1:11">
      <c r="A2238" s="90" t="s">
        <v>8204</v>
      </c>
      <c r="B2238" s="90" t="s">
        <v>8205</v>
      </c>
      <c r="C2238" s="90" t="s">
        <v>12</v>
      </c>
      <c r="D2238" s="90" t="str">
        <f>VLOOKUP(Tabela1[[#This Row],[Origem]],'Perguntas 1 a 24'!$J$28:$K$34,2,FALSE)</f>
        <v>Sudeste</v>
      </c>
      <c r="E2238" s="90" t="s">
        <v>13576</v>
      </c>
      <c r="F2238" s="91">
        <v>46817</v>
      </c>
      <c r="G2238" s="92">
        <v>113859</v>
      </c>
      <c r="H2238" s="90" t="s">
        <v>7</v>
      </c>
      <c r="I22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38" s="90" t="s">
        <v>4452</v>
      </c>
    </row>
    <row r="2239" spans="1:11">
      <c r="A2239" s="90" t="s">
        <v>4451</v>
      </c>
      <c r="B2239" s="90" t="s">
        <v>4452</v>
      </c>
      <c r="C2239" s="90" t="s">
        <v>16</v>
      </c>
      <c r="D2239" s="90" t="str">
        <f>VLOOKUP(Tabela1[[#This Row],[Origem]],'Perguntas 1 a 24'!$J$28:$K$34,2,FALSE)</f>
        <v>Sudeste</v>
      </c>
      <c r="E2239" s="90" t="s">
        <v>13577</v>
      </c>
      <c r="F2239" s="91">
        <v>46818</v>
      </c>
      <c r="G2239" s="92">
        <v>34435</v>
      </c>
      <c r="H2239" s="90" t="s">
        <v>11</v>
      </c>
      <c r="I22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39" s="90" t="s">
        <v>8011</v>
      </c>
    </row>
    <row r="2240" spans="1:11">
      <c r="A2240" s="90" t="s">
        <v>8010</v>
      </c>
      <c r="B2240" s="90" t="s">
        <v>8011</v>
      </c>
      <c r="C2240" s="90" t="s">
        <v>6</v>
      </c>
      <c r="D2240" s="90" t="str">
        <f>VLOOKUP(Tabela1[[#This Row],[Origem]],'Perguntas 1 a 24'!$J$28:$K$34,2,FALSE)</f>
        <v>Nordeste</v>
      </c>
      <c r="E2240" s="90" t="s">
        <v>13578</v>
      </c>
      <c r="F2240" s="91">
        <v>46818</v>
      </c>
      <c r="G2240" s="92">
        <v>67915</v>
      </c>
      <c r="H2240" s="90" t="s">
        <v>14</v>
      </c>
      <c r="I22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40" s="90" t="s">
        <v>3733</v>
      </c>
    </row>
    <row r="2241" spans="1:11">
      <c r="A2241" s="90" t="s">
        <v>3732</v>
      </c>
      <c r="B2241" s="90" t="s">
        <v>3733</v>
      </c>
      <c r="C2241" s="90" t="s">
        <v>6</v>
      </c>
      <c r="D2241" s="90" t="str">
        <f>VLOOKUP(Tabela1[[#This Row],[Origem]],'Perguntas 1 a 24'!$J$28:$K$34,2,FALSE)</f>
        <v>Nordeste</v>
      </c>
      <c r="E2241" s="90" t="s">
        <v>13579</v>
      </c>
      <c r="F2241" s="91">
        <v>46819</v>
      </c>
      <c r="G2241" s="92">
        <v>40679</v>
      </c>
      <c r="H2241" s="90" t="s">
        <v>7</v>
      </c>
      <c r="I22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41" s="90" t="s">
        <v>6917</v>
      </c>
    </row>
    <row r="2242" spans="1:11">
      <c r="A2242" s="90" t="s">
        <v>6916</v>
      </c>
      <c r="B2242" s="90" t="s">
        <v>6917</v>
      </c>
      <c r="C2242" s="90" t="s">
        <v>16</v>
      </c>
      <c r="D2242" s="90" t="str">
        <f>VLOOKUP(Tabela1[[#This Row],[Origem]],'Perguntas 1 a 24'!$J$28:$K$34,2,FALSE)</f>
        <v>Sudeste</v>
      </c>
      <c r="E2242" s="90" t="s">
        <v>13580</v>
      </c>
      <c r="F2242" s="91">
        <v>46819</v>
      </c>
      <c r="G2242" s="92">
        <v>56519</v>
      </c>
      <c r="H2242" s="90" t="s">
        <v>14</v>
      </c>
      <c r="I22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42" s="90" t="s">
        <v>4083</v>
      </c>
    </row>
    <row r="2243" spans="1:11">
      <c r="A2243" s="90" t="s">
        <v>4082</v>
      </c>
      <c r="B2243" s="90" t="s">
        <v>4083</v>
      </c>
      <c r="C2243" s="90" t="s">
        <v>12</v>
      </c>
      <c r="D2243" s="90" t="str">
        <f>VLOOKUP(Tabela1[[#This Row],[Origem]],'Perguntas 1 a 24'!$J$28:$K$34,2,FALSE)</f>
        <v>Sudeste</v>
      </c>
      <c r="E2243" s="90" t="s">
        <v>13581</v>
      </c>
      <c r="F2243" s="91">
        <v>46821</v>
      </c>
      <c r="G2243" s="92">
        <v>28359</v>
      </c>
      <c r="H2243" s="90" t="s">
        <v>9</v>
      </c>
      <c r="I22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43" s="90" t="s">
        <v>5403</v>
      </c>
    </row>
    <row r="2244" spans="1:11">
      <c r="A2244" s="90" t="s">
        <v>5402</v>
      </c>
      <c r="B2244" s="90" t="s">
        <v>5403</v>
      </c>
      <c r="C2244" s="90" t="s">
        <v>8</v>
      </c>
      <c r="D2244" s="90" t="str">
        <f>VLOOKUP(Tabela1[[#This Row],[Origem]],'Perguntas 1 a 24'!$J$28:$K$34,2,FALSE)</f>
        <v>Nordeste</v>
      </c>
      <c r="E2244" s="90" t="s">
        <v>13582</v>
      </c>
      <c r="F2244" s="91">
        <v>46823</v>
      </c>
      <c r="G2244" s="92">
        <v>27424</v>
      </c>
      <c r="H2244" s="90" t="s">
        <v>9</v>
      </c>
      <c r="I22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44" s="90" t="s">
        <v>7057</v>
      </c>
    </row>
    <row r="2245" spans="1:11">
      <c r="A2245" s="90" t="s">
        <v>7056</v>
      </c>
      <c r="B2245" s="90" t="s">
        <v>7057</v>
      </c>
      <c r="C2245" s="90" t="s">
        <v>15</v>
      </c>
      <c r="D2245" s="90" t="str">
        <f>VLOOKUP(Tabela1[[#This Row],[Origem]],'Perguntas 1 a 24'!$J$28:$K$34,2,FALSE)</f>
        <v>Sudeste</v>
      </c>
      <c r="E2245" s="90" t="s">
        <v>13583</v>
      </c>
      <c r="F2245" s="91">
        <v>46823</v>
      </c>
      <c r="G2245" s="92">
        <v>38067</v>
      </c>
      <c r="H2245" s="90" t="s">
        <v>14</v>
      </c>
      <c r="I22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45" s="90" t="s">
        <v>9238</v>
      </c>
    </row>
    <row r="2246" spans="1:11">
      <c r="A2246" s="90" t="s">
        <v>9237</v>
      </c>
      <c r="B2246" s="90" t="s">
        <v>9238</v>
      </c>
      <c r="C2246" s="90" t="s">
        <v>15</v>
      </c>
      <c r="D2246" s="90" t="str">
        <f>VLOOKUP(Tabela1[[#This Row],[Origem]],'Perguntas 1 a 24'!$J$28:$K$34,2,FALSE)</f>
        <v>Sudeste</v>
      </c>
      <c r="E2246" s="90" t="s">
        <v>13584</v>
      </c>
      <c r="F2246" s="91">
        <v>46823</v>
      </c>
      <c r="G2246" s="92">
        <v>23383</v>
      </c>
      <c r="H2246" s="90" t="s">
        <v>7</v>
      </c>
      <c r="I22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46" s="90" t="s">
        <v>8163</v>
      </c>
    </row>
    <row r="2247" spans="1:11">
      <c r="A2247" s="90" t="s">
        <v>8162</v>
      </c>
      <c r="B2247" s="90" t="s">
        <v>8163</v>
      </c>
      <c r="C2247" s="90" t="s">
        <v>8</v>
      </c>
      <c r="D2247" s="90" t="str">
        <f>VLOOKUP(Tabela1[[#This Row],[Origem]],'Perguntas 1 a 24'!$J$28:$K$34,2,FALSE)</f>
        <v>Nordeste</v>
      </c>
      <c r="E2247" s="90" t="s">
        <v>13585</v>
      </c>
      <c r="F2247" s="91">
        <v>46824</v>
      </c>
      <c r="G2247" s="92">
        <v>32537</v>
      </c>
      <c r="H2247" s="90" t="s">
        <v>7</v>
      </c>
      <c r="I22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47" s="90" t="s">
        <v>10864</v>
      </c>
    </row>
    <row r="2248" spans="1:11">
      <c r="A2248" s="90" t="s">
        <v>10863</v>
      </c>
      <c r="B2248" s="90" t="s">
        <v>10864</v>
      </c>
      <c r="C2248" s="90" t="s">
        <v>6</v>
      </c>
      <c r="D2248" s="90" t="str">
        <f>VLOOKUP(Tabela1[[#This Row],[Origem]],'Perguntas 1 a 24'!$J$28:$K$34,2,FALSE)</f>
        <v>Nordeste</v>
      </c>
      <c r="E2248" s="90" t="s">
        <v>13586</v>
      </c>
      <c r="F2248" s="91">
        <v>46824</v>
      </c>
      <c r="G2248" s="92">
        <v>34531</v>
      </c>
      <c r="H2248" s="90" t="s">
        <v>9</v>
      </c>
      <c r="I22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48" s="90" t="s">
        <v>5223</v>
      </c>
    </row>
    <row r="2249" spans="1:11">
      <c r="A2249" s="90" t="s">
        <v>5222</v>
      </c>
      <c r="B2249" s="90" t="s">
        <v>5223</v>
      </c>
      <c r="C2249" s="90" t="s">
        <v>13</v>
      </c>
      <c r="D2249" s="90" t="str">
        <f>VLOOKUP(Tabela1[[#This Row],[Origem]],'Perguntas 1 a 24'!$J$28:$K$34,2,FALSE)</f>
        <v>Sudeste</v>
      </c>
      <c r="E2249" s="90" t="s">
        <v>13587</v>
      </c>
      <c r="F2249" s="91">
        <v>46825</v>
      </c>
      <c r="G2249" s="92">
        <v>46686</v>
      </c>
      <c r="H2249" s="90" t="s">
        <v>11</v>
      </c>
      <c r="I22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49" s="90" t="s">
        <v>8437</v>
      </c>
    </row>
    <row r="2250" spans="1:11">
      <c r="A2250" s="90" t="s">
        <v>8436</v>
      </c>
      <c r="B2250" s="90" t="s">
        <v>8437</v>
      </c>
      <c r="C2250" s="90" t="s">
        <v>16</v>
      </c>
      <c r="D2250" s="90" t="str">
        <f>VLOOKUP(Tabela1[[#This Row],[Origem]],'Perguntas 1 a 24'!$J$28:$K$34,2,FALSE)</f>
        <v>Sudeste</v>
      </c>
      <c r="E2250" s="90" t="s">
        <v>13588</v>
      </c>
      <c r="F2250" s="91">
        <v>46826</v>
      </c>
      <c r="G2250" s="92">
        <v>78538</v>
      </c>
      <c r="H2250" s="90" t="s">
        <v>7</v>
      </c>
      <c r="I22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50" s="90" t="s">
        <v>11071</v>
      </c>
    </row>
    <row r="2251" spans="1:11">
      <c r="A2251" s="90" t="s">
        <v>11070</v>
      </c>
      <c r="B2251" s="90" t="s">
        <v>11071</v>
      </c>
      <c r="C2251" s="90" t="s">
        <v>6</v>
      </c>
      <c r="D2251" s="90" t="str">
        <f>VLOOKUP(Tabela1[[#This Row],[Origem]],'Perguntas 1 a 24'!$J$28:$K$34,2,FALSE)</f>
        <v>Nordeste</v>
      </c>
      <c r="E2251" s="90" t="s">
        <v>13589</v>
      </c>
      <c r="F2251" s="91">
        <v>46826</v>
      </c>
      <c r="G2251" s="92">
        <v>66213</v>
      </c>
      <c r="H2251" s="90" t="s">
        <v>7</v>
      </c>
      <c r="I22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51" s="90" t="s">
        <v>6619</v>
      </c>
    </row>
    <row r="2252" spans="1:11">
      <c r="A2252" s="90" t="s">
        <v>6618</v>
      </c>
      <c r="B2252" s="90" t="s">
        <v>6619</v>
      </c>
      <c r="C2252" s="90" t="s">
        <v>6</v>
      </c>
      <c r="D2252" s="90" t="str">
        <f>VLOOKUP(Tabela1[[#This Row],[Origem]],'Perguntas 1 a 24'!$J$28:$K$34,2,FALSE)</f>
        <v>Nordeste</v>
      </c>
      <c r="E2252" s="90" t="s">
        <v>13590</v>
      </c>
      <c r="F2252" s="91">
        <v>46828</v>
      </c>
      <c r="G2252" s="92">
        <v>52708</v>
      </c>
      <c r="H2252" s="90" t="s">
        <v>7</v>
      </c>
      <c r="I22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52" s="90" t="s">
        <v>8904</v>
      </c>
    </row>
    <row r="2253" spans="1:11">
      <c r="A2253" s="90" t="s">
        <v>8903</v>
      </c>
      <c r="B2253" s="90" t="s">
        <v>8904</v>
      </c>
      <c r="C2253" s="90" t="s">
        <v>12</v>
      </c>
      <c r="D2253" s="90" t="str">
        <f>VLOOKUP(Tabela1[[#This Row],[Origem]],'Perguntas 1 a 24'!$J$28:$K$34,2,FALSE)</f>
        <v>Sudeste</v>
      </c>
      <c r="E2253" s="90" t="s">
        <v>13591</v>
      </c>
      <c r="F2253" s="91">
        <v>46828</v>
      </c>
      <c r="G2253" s="92">
        <v>36816</v>
      </c>
      <c r="H2253" s="90" t="s">
        <v>7</v>
      </c>
      <c r="I22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53" s="90" t="s">
        <v>5215</v>
      </c>
    </row>
    <row r="2254" spans="1:11">
      <c r="A2254" s="90" t="s">
        <v>5214</v>
      </c>
      <c r="B2254" s="90" t="s">
        <v>5215</v>
      </c>
      <c r="C2254" s="90" t="s">
        <v>8</v>
      </c>
      <c r="D2254" s="90" t="str">
        <f>VLOOKUP(Tabela1[[#This Row],[Origem]],'Perguntas 1 a 24'!$J$28:$K$34,2,FALSE)</f>
        <v>Nordeste</v>
      </c>
      <c r="E2254" s="90" t="s">
        <v>13592</v>
      </c>
      <c r="F2254" s="91">
        <v>46829</v>
      </c>
      <c r="G2254" s="92">
        <v>79429</v>
      </c>
      <c r="H2254" s="90" t="s">
        <v>7</v>
      </c>
      <c r="I22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54" s="90" t="s">
        <v>6573</v>
      </c>
    </row>
    <row r="2255" spans="1:11">
      <c r="A2255" s="90" t="s">
        <v>6572</v>
      </c>
      <c r="B2255" s="90" t="s">
        <v>6573</v>
      </c>
      <c r="C2255" s="90" t="s">
        <v>6</v>
      </c>
      <c r="D2255" s="90" t="str">
        <f>VLOOKUP(Tabela1[[#This Row],[Origem]],'Perguntas 1 a 24'!$J$28:$K$34,2,FALSE)</f>
        <v>Nordeste</v>
      </c>
      <c r="E2255" s="90" t="s">
        <v>13593</v>
      </c>
      <c r="F2255" s="91">
        <v>46829</v>
      </c>
      <c r="G2255" s="92">
        <v>93023</v>
      </c>
      <c r="H2255" s="90" t="s">
        <v>7</v>
      </c>
      <c r="I22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55" s="90" t="s">
        <v>6941</v>
      </c>
    </row>
    <row r="2256" spans="1:11">
      <c r="A2256" s="90" t="s">
        <v>6940</v>
      </c>
      <c r="B2256" s="90" t="s">
        <v>6941</v>
      </c>
      <c r="C2256" s="90" t="s">
        <v>16</v>
      </c>
      <c r="D2256" s="90" t="str">
        <f>VLOOKUP(Tabela1[[#This Row],[Origem]],'Perguntas 1 a 24'!$J$28:$K$34,2,FALSE)</f>
        <v>Sudeste</v>
      </c>
      <c r="E2256" s="90" t="s">
        <v>13594</v>
      </c>
      <c r="F2256" s="91">
        <v>46829</v>
      </c>
      <c r="G2256" s="92">
        <v>60938</v>
      </c>
      <c r="H2256" s="90" t="s">
        <v>7</v>
      </c>
      <c r="I22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56" s="90" t="s">
        <v>7759</v>
      </c>
    </row>
    <row r="2257" spans="1:11">
      <c r="A2257" s="90" t="s">
        <v>7758</v>
      </c>
      <c r="B2257" s="90" t="s">
        <v>7759</v>
      </c>
      <c r="C2257" s="90" t="s">
        <v>10</v>
      </c>
      <c r="D2257" s="90" t="str">
        <f>VLOOKUP(Tabela1[[#This Row],[Origem]],'Perguntas 1 a 24'!$J$28:$K$34,2,FALSE)</f>
        <v>Centro-Oeste</v>
      </c>
      <c r="E2257" s="90" t="s">
        <v>13595</v>
      </c>
      <c r="F2257" s="91">
        <v>46829</v>
      </c>
      <c r="G2257" s="92">
        <v>58934</v>
      </c>
      <c r="H2257" s="90" t="s">
        <v>9</v>
      </c>
      <c r="I22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57" s="90" t="s">
        <v>10650</v>
      </c>
    </row>
    <row r="2258" spans="1:11">
      <c r="A2258" s="90" t="s">
        <v>10649</v>
      </c>
      <c r="B2258" s="90" t="s">
        <v>10650</v>
      </c>
      <c r="C2258" s="90" t="s">
        <v>8</v>
      </c>
      <c r="D2258" s="90" t="str">
        <f>VLOOKUP(Tabela1[[#This Row],[Origem]],'Perguntas 1 a 24'!$J$28:$K$34,2,FALSE)</f>
        <v>Nordeste</v>
      </c>
      <c r="E2258" s="90" t="s">
        <v>13596</v>
      </c>
      <c r="F2258" s="91">
        <v>46829</v>
      </c>
      <c r="G2258" s="92">
        <v>46930</v>
      </c>
      <c r="H2258" s="90" t="s">
        <v>7</v>
      </c>
      <c r="I22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58" s="90" t="s">
        <v>4324</v>
      </c>
    </row>
    <row r="2259" spans="1:11">
      <c r="A2259" s="90" t="s">
        <v>4323</v>
      </c>
      <c r="B2259" s="90" t="s">
        <v>4324</v>
      </c>
      <c r="C2259" s="90" t="s">
        <v>15</v>
      </c>
      <c r="D2259" s="90" t="str">
        <f>VLOOKUP(Tabela1[[#This Row],[Origem]],'Perguntas 1 a 24'!$J$28:$K$34,2,FALSE)</f>
        <v>Sudeste</v>
      </c>
      <c r="E2259" s="90" t="s">
        <v>13597</v>
      </c>
      <c r="F2259" s="91">
        <v>46830</v>
      </c>
      <c r="G2259" s="92">
        <v>102129</v>
      </c>
      <c r="H2259" s="90" t="s">
        <v>9</v>
      </c>
      <c r="I22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59" s="90" t="s">
        <v>8381</v>
      </c>
    </row>
    <row r="2260" spans="1:11">
      <c r="A2260" s="90" t="s">
        <v>8380</v>
      </c>
      <c r="B2260" s="90" t="s">
        <v>8381</v>
      </c>
      <c r="C2260" s="90" t="s">
        <v>16</v>
      </c>
      <c r="D2260" s="90" t="str">
        <f>VLOOKUP(Tabela1[[#This Row],[Origem]],'Perguntas 1 a 24'!$J$28:$K$34,2,FALSE)</f>
        <v>Sudeste</v>
      </c>
      <c r="E2260" s="90" t="s">
        <v>13598</v>
      </c>
      <c r="F2260" s="91">
        <v>46830</v>
      </c>
      <c r="G2260" s="92">
        <v>26160</v>
      </c>
      <c r="H2260" s="90" t="s">
        <v>11</v>
      </c>
      <c r="I22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60" s="90" t="s">
        <v>10842</v>
      </c>
    </row>
    <row r="2261" spans="1:11">
      <c r="A2261" s="90" t="s">
        <v>10841</v>
      </c>
      <c r="B2261" s="90" t="s">
        <v>10842</v>
      </c>
      <c r="C2261" s="90" t="s">
        <v>10</v>
      </c>
      <c r="D2261" s="90" t="str">
        <f>VLOOKUP(Tabela1[[#This Row],[Origem]],'Perguntas 1 a 24'!$J$28:$K$34,2,FALSE)</f>
        <v>Centro-Oeste</v>
      </c>
      <c r="E2261" s="90" t="s">
        <v>13599</v>
      </c>
      <c r="F2261" s="91">
        <v>46830</v>
      </c>
      <c r="G2261" s="92">
        <v>63555</v>
      </c>
      <c r="H2261" s="90" t="s">
        <v>11</v>
      </c>
      <c r="I22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61" s="90" t="s">
        <v>10072</v>
      </c>
    </row>
    <row r="2262" spans="1:11">
      <c r="A2262" s="90" t="s">
        <v>10071</v>
      </c>
      <c r="B2262" s="90" t="s">
        <v>10072</v>
      </c>
      <c r="C2262" s="90" t="s">
        <v>8</v>
      </c>
      <c r="D2262" s="90" t="str">
        <f>VLOOKUP(Tabela1[[#This Row],[Origem]],'Perguntas 1 a 24'!$J$28:$K$34,2,FALSE)</f>
        <v>Nordeste</v>
      </c>
      <c r="E2262" s="90" t="s">
        <v>13600</v>
      </c>
      <c r="F2262" s="91">
        <v>46832</v>
      </c>
      <c r="G2262" s="92">
        <v>84769</v>
      </c>
      <c r="H2262" s="90" t="s">
        <v>11</v>
      </c>
      <c r="I22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62" s="90" t="s">
        <v>11337</v>
      </c>
    </row>
    <row r="2263" spans="1:11">
      <c r="A2263" s="90" t="s">
        <v>11336</v>
      </c>
      <c r="B2263" s="90" t="s">
        <v>11337</v>
      </c>
      <c r="C2263" s="90" t="s">
        <v>15</v>
      </c>
      <c r="D2263" s="90" t="str">
        <f>VLOOKUP(Tabela1[[#This Row],[Origem]],'Perguntas 1 a 24'!$J$28:$K$34,2,FALSE)</f>
        <v>Sudeste</v>
      </c>
      <c r="E2263" s="90" t="s">
        <v>13601</v>
      </c>
      <c r="F2263" s="91">
        <v>46833</v>
      </c>
      <c r="G2263" s="92">
        <v>108960</v>
      </c>
      <c r="H2263" s="90" t="s">
        <v>11</v>
      </c>
      <c r="I22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63" s="90" t="s">
        <v>9304</v>
      </c>
    </row>
    <row r="2264" spans="1:11">
      <c r="A2264" s="90" t="s">
        <v>9303</v>
      </c>
      <c r="B2264" s="90" t="s">
        <v>9304</v>
      </c>
      <c r="C2264" s="90" t="s">
        <v>15</v>
      </c>
      <c r="D2264" s="90" t="str">
        <f>VLOOKUP(Tabela1[[#This Row],[Origem]],'Perguntas 1 a 24'!$J$28:$K$34,2,FALSE)</f>
        <v>Sudeste</v>
      </c>
      <c r="E2264" s="90" t="s">
        <v>13602</v>
      </c>
      <c r="F2264" s="91">
        <v>46834</v>
      </c>
      <c r="G2264" s="92">
        <v>95711</v>
      </c>
      <c r="H2264" s="90" t="s">
        <v>9</v>
      </c>
      <c r="I22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64" s="90" t="s">
        <v>10975</v>
      </c>
    </row>
    <row r="2265" spans="1:11">
      <c r="A2265" s="90" t="s">
        <v>10974</v>
      </c>
      <c r="B2265" s="90" t="s">
        <v>10975</v>
      </c>
      <c r="C2265" s="90" t="s">
        <v>8</v>
      </c>
      <c r="D2265" s="90" t="str">
        <f>VLOOKUP(Tabela1[[#This Row],[Origem]],'Perguntas 1 a 24'!$J$28:$K$34,2,FALSE)</f>
        <v>Nordeste</v>
      </c>
      <c r="E2265" s="90" t="s">
        <v>13603</v>
      </c>
      <c r="F2265" s="91">
        <v>46836</v>
      </c>
      <c r="G2265" s="92">
        <v>24388</v>
      </c>
      <c r="H2265" s="90" t="s">
        <v>7</v>
      </c>
      <c r="I22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65" s="90" t="s">
        <v>4843</v>
      </c>
    </row>
    <row r="2266" spans="1:11">
      <c r="A2266" s="90" t="s">
        <v>4842</v>
      </c>
      <c r="B2266" s="90" t="s">
        <v>4843</v>
      </c>
      <c r="C2266" s="90" t="s">
        <v>15</v>
      </c>
      <c r="D2266" s="90" t="str">
        <f>VLOOKUP(Tabela1[[#This Row],[Origem]],'Perguntas 1 a 24'!$J$28:$K$34,2,FALSE)</f>
        <v>Sudeste</v>
      </c>
      <c r="E2266" s="90" t="s">
        <v>13604</v>
      </c>
      <c r="F2266" s="91">
        <v>46837</v>
      </c>
      <c r="G2266" s="92">
        <v>73963</v>
      </c>
      <c r="H2266" s="90" t="s">
        <v>14</v>
      </c>
      <c r="I22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66" s="90" t="s">
        <v>8401</v>
      </c>
    </row>
    <row r="2267" spans="1:11">
      <c r="A2267" s="90" t="s">
        <v>8400</v>
      </c>
      <c r="B2267" s="90" t="s">
        <v>8401</v>
      </c>
      <c r="C2267" s="90" t="s">
        <v>15</v>
      </c>
      <c r="D2267" s="90" t="str">
        <f>VLOOKUP(Tabela1[[#This Row],[Origem]],'Perguntas 1 a 24'!$J$28:$K$34,2,FALSE)</f>
        <v>Sudeste</v>
      </c>
      <c r="E2267" s="90" t="s">
        <v>13605</v>
      </c>
      <c r="F2267" s="91">
        <v>46837</v>
      </c>
      <c r="G2267" s="92">
        <v>38136</v>
      </c>
      <c r="H2267" s="90" t="s">
        <v>14</v>
      </c>
      <c r="I22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67" s="90" t="s">
        <v>9438</v>
      </c>
    </row>
    <row r="2268" spans="1:11">
      <c r="A2268" s="90" t="s">
        <v>9437</v>
      </c>
      <c r="B2268" s="90" t="s">
        <v>9438</v>
      </c>
      <c r="C2268" s="90" t="s">
        <v>6</v>
      </c>
      <c r="D2268" s="90" t="str">
        <f>VLOOKUP(Tabela1[[#This Row],[Origem]],'Perguntas 1 a 24'!$J$28:$K$34,2,FALSE)</f>
        <v>Nordeste</v>
      </c>
      <c r="E2268" s="90" t="s">
        <v>13606</v>
      </c>
      <c r="F2268" s="91">
        <v>46837</v>
      </c>
      <c r="G2268" s="92">
        <v>20102</v>
      </c>
      <c r="H2268" s="90" t="s">
        <v>11</v>
      </c>
      <c r="I22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68" s="90" t="s">
        <v>4073</v>
      </c>
    </row>
    <row r="2269" spans="1:11">
      <c r="A2269" s="90" t="s">
        <v>4072</v>
      </c>
      <c r="B2269" s="90" t="s">
        <v>4073</v>
      </c>
      <c r="C2269" s="90" t="s">
        <v>10</v>
      </c>
      <c r="D2269" s="90" t="str">
        <f>VLOOKUP(Tabela1[[#This Row],[Origem]],'Perguntas 1 a 24'!$J$28:$K$34,2,FALSE)</f>
        <v>Centro-Oeste</v>
      </c>
      <c r="E2269" s="90" t="s">
        <v>13607</v>
      </c>
      <c r="F2269" s="91">
        <v>46838</v>
      </c>
      <c r="G2269" s="92">
        <v>67075</v>
      </c>
      <c r="H2269" s="90" t="s">
        <v>11</v>
      </c>
      <c r="I22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69" s="90" t="s">
        <v>8654</v>
      </c>
    </row>
    <row r="2270" spans="1:11">
      <c r="A2270" s="90" t="s">
        <v>8653</v>
      </c>
      <c r="B2270" s="90" t="s">
        <v>8654</v>
      </c>
      <c r="C2270" s="90" t="s">
        <v>16</v>
      </c>
      <c r="D2270" s="90" t="str">
        <f>VLOOKUP(Tabela1[[#This Row],[Origem]],'Perguntas 1 a 24'!$J$28:$K$34,2,FALSE)</f>
        <v>Sudeste</v>
      </c>
      <c r="E2270" s="90" t="s">
        <v>13608</v>
      </c>
      <c r="F2270" s="91">
        <v>46839</v>
      </c>
      <c r="G2270" s="92">
        <v>52599</v>
      </c>
      <c r="H2270" s="90" t="s">
        <v>11</v>
      </c>
      <c r="I22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70" s="90" t="s">
        <v>8648</v>
      </c>
    </row>
    <row r="2271" spans="1:11">
      <c r="A2271" s="90" t="s">
        <v>8647</v>
      </c>
      <c r="B2271" s="90" t="s">
        <v>8648</v>
      </c>
      <c r="C2271" s="90" t="s">
        <v>15</v>
      </c>
      <c r="D2271" s="90" t="str">
        <f>VLOOKUP(Tabela1[[#This Row],[Origem]],'Perguntas 1 a 24'!$J$28:$K$34,2,FALSE)</f>
        <v>Sudeste</v>
      </c>
      <c r="E2271" s="90" t="s">
        <v>13609</v>
      </c>
      <c r="F2271" s="91">
        <v>46840</v>
      </c>
      <c r="G2271" s="92">
        <v>115281</v>
      </c>
      <c r="H2271" s="90" t="s">
        <v>7</v>
      </c>
      <c r="I22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71" s="90" t="s">
        <v>8329</v>
      </c>
    </row>
    <row r="2272" spans="1:11">
      <c r="A2272" s="90" t="s">
        <v>8328</v>
      </c>
      <c r="B2272" s="90" t="s">
        <v>8329</v>
      </c>
      <c r="C2272" s="90" t="s">
        <v>6</v>
      </c>
      <c r="D2272" s="90" t="str">
        <f>VLOOKUP(Tabela1[[#This Row],[Origem]],'Perguntas 1 a 24'!$J$28:$K$34,2,FALSE)</f>
        <v>Nordeste</v>
      </c>
      <c r="E2272" s="90" t="s">
        <v>13610</v>
      </c>
      <c r="F2272" s="91">
        <v>46841</v>
      </c>
      <c r="G2272" s="92">
        <v>82542</v>
      </c>
      <c r="H2272" s="90" t="s">
        <v>11</v>
      </c>
      <c r="I22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72" s="90" t="s">
        <v>10134</v>
      </c>
    </row>
    <row r="2273" spans="1:11">
      <c r="A2273" s="90" t="s">
        <v>10133</v>
      </c>
      <c r="B2273" s="90" t="s">
        <v>10134</v>
      </c>
      <c r="C2273" s="90" t="s">
        <v>15</v>
      </c>
      <c r="D2273" s="90" t="str">
        <f>VLOOKUP(Tabela1[[#This Row],[Origem]],'Perguntas 1 a 24'!$J$28:$K$34,2,FALSE)</f>
        <v>Sudeste</v>
      </c>
      <c r="E2273" s="90" t="s">
        <v>13611</v>
      </c>
      <c r="F2273" s="91">
        <v>46842</v>
      </c>
      <c r="G2273" s="92">
        <v>67132</v>
      </c>
      <c r="H2273" s="90" t="s">
        <v>9</v>
      </c>
      <c r="I22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73" s="90" t="s">
        <v>8229</v>
      </c>
    </row>
    <row r="2274" spans="1:11">
      <c r="A2274" s="90" t="s">
        <v>8228</v>
      </c>
      <c r="B2274" s="90" t="s">
        <v>8229</v>
      </c>
      <c r="C2274" s="90" t="s">
        <v>10</v>
      </c>
      <c r="D2274" s="90" t="str">
        <f>VLOOKUP(Tabela1[[#This Row],[Origem]],'Perguntas 1 a 24'!$J$28:$K$34,2,FALSE)</f>
        <v>Centro-Oeste</v>
      </c>
      <c r="E2274" s="90" t="s">
        <v>13612</v>
      </c>
      <c r="F2274" s="91">
        <v>46843</v>
      </c>
      <c r="G2274" s="92">
        <v>88777</v>
      </c>
      <c r="H2274" s="90" t="s">
        <v>9</v>
      </c>
      <c r="I22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74" s="90" t="s">
        <v>8429</v>
      </c>
    </row>
    <row r="2275" spans="1:11">
      <c r="A2275" s="90" t="s">
        <v>8428</v>
      </c>
      <c r="B2275" s="90" t="s">
        <v>8429</v>
      </c>
      <c r="C2275" s="90" t="s">
        <v>8</v>
      </c>
      <c r="D2275" s="90" t="str">
        <f>VLOOKUP(Tabela1[[#This Row],[Origem]],'Perguntas 1 a 24'!$J$28:$K$34,2,FALSE)</f>
        <v>Nordeste</v>
      </c>
      <c r="E2275" s="90" t="s">
        <v>13613</v>
      </c>
      <c r="F2275" s="91">
        <v>46843</v>
      </c>
      <c r="G2275" s="92">
        <v>29926</v>
      </c>
      <c r="H2275" s="90" t="s">
        <v>9</v>
      </c>
      <c r="I22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75" s="90" t="s">
        <v>10270</v>
      </c>
    </row>
    <row r="2276" spans="1:11">
      <c r="A2276" s="90" t="s">
        <v>10269</v>
      </c>
      <c r="B2276" s="90" t="s">
        <v>10270</v>
      </c>
      <c r="C2276" s="90" t="s">
        <v>13</v>
      </c>
      <c r="D2276" s="90" t="str">
        <f>VLOOKUP(Tabela1[[#This Row],[Origem]],'Perguntas 1 a 24'!$J$28:$K$34,2,FALSE)</f>
        <v>Sudeste</v>
      </c>
      <c r="E2276" s="90" t="s">
        <v>13614</v>
      </c>
      <c r="F2276" s="91">
        <v>46843</v>
      </c>
      <c r="G2276" s="92">
        <v>71267</v>
      </c>
      <c r="H2276" s="90" t="s">
        <v>7</v>
      </c>
      <c r="I22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76" s="90" t="s">
        <v>10296</v>
      </c>
    </row>
    <row r="2277" spans="1:11">
      <c r="A2277" s="90" t="s">
        <v>10295</v>
      </c>
      <c r="B2277" s="90" t="s">
        <v>10296</v>
      </c>
      <c r="C2277" s="90" t="s">
        <v>8</v>
      </c>
      <c r="D2277" s="90" t="str">
        <f>VLOOKUP(Tabela1[[#This Row],[Origem]],'Perguntas 1 a 24'!$J$28:$K$34,2,FALSE)</f>
        <v>Nordeste</v>
      </c>
      <c r="E2277" s="90" t="s">
        <v>13615</v>
      </c>
      <c r="F2277" s="91">
        <v>46843</v>
      </c>
      <c r="G2277" s="92">
        <v>71055</v>
      </c>
      <c r="H2277" s="90" t="s">
        <v>14</v>
      </c>
      <c r="I22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77" s="90" t="s">
        <v>4899</v>
      </c>
    </row>
    <row r="2278" spans="1:11">
      <c r="A2278" s="90" t="s">
        <v>4898</v>
      </c>
      <c r="B2278" s="90" t="s">
        <v>4899</v>
      </c>
      <c r="C2278" s="90" t="s">
        <v>15</v>
      </c>
      <c r="D2278" s="90" t="str">
        <f>VLOOKUP(Tabela1[[#This Row],[Origem]],'Perguntas 1 a 24'!$J$28:$K$34,2,FALSE)</f>
        <v>Sudeste</v>
      </c>
      <c r="E2278" s="90" t="s">
        <v>13616</v>
      </c>
      <c r="F2278" s="91">
        <v>46844</v>
      </c>
      <c r="G2278" s="92">
        <v>38082</v>
      </c>
      <c r="H2278" s="90" t="s">
        <v>14</v>
      </c>
      <c r="I22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78" s="90" t="s">
        <v>5703</v>
      </c>
    </row>
    <row r="2279" spans="1:11">
      <c r="A2279" s="90" t="s">
        <v>5702</v>
      </c>
      <c r="B2279" s="90" t="s">
        <v>5703</v>
      </c>
      <c r="C2279" s="90" t="s">
        <v>16</v>
      </c>
      <c r="D2279" s="90" t="str">
        <f>VLOOKUP(Tabela1[[#This Row],[Origem]],'Perguntas 1 a 24'!$J$28:$K$34,2,FALSE)</f>
        <v>Sudeste</v>
      </c>
      <c r="E2279" s="90" t="s">
        <v>13617</v>
      </c>
      <c r="F2279" s="91">
        <v>46846</v>
      </c>
      <c r="G2279" s="92">
        <v>24082</v>
      </c>
      <c r="H2279" s="90" t="s">
        <v>9</v>
      </c>
      <c r="I22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79" s="90" t="s">
        <v>9116</v>
      </c>
    </row>
    <row r="2280" spans="1:11">
      <c r="A2280" s="90" t="s">
        <v>9115</v>
      </c>
      <c r="B2280" s="90" t="s">
        <v>9116</v>
      </c>
      <c r="C2280" s="90" t="s">
        <v>13</v>
      </c>
      <c r="D2280" s="90" t="str">
        <f>VLOOKUP(Tabela1[[#This Row],[Origem]],'Perguntas 1 a 24'!$J$28:$K$34,2,FALSE)</f>
        <v>Sudeste</v>
      </c>
      <c r="E2280" s="90" t="s">
        <v>13618</v>
      </c>
      <c r="F2280" s="91">
        <v>46846</v>
      </c>
      <c r="G2280" s="92">
        <v>99639</v>
      </c>
      <c r="H2280" s="90" t="s">
        <v>14</v>
      </c>
      <c r="I22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0" s="90" t="s">
        <v>8640</v>
      </c>
    </row>
    <row r="2281" spans="1:11">
      <c r="A2281" s="90" t="s">
        <v>8639</v>
      </c>
      <c r="B2281" s="90" t="s">
        <v>8640</v>
      </c>
      <c r="C2281" s="90" t="s">
        <v>12</v>
      </c>
      <c r="D2281" s="90" t="str">
        <f>VLOOKUP(Tabela1[[#This Row],[Origem]],'Perguntas 1 a 24'!$J$28:$K$34,2,FALSE)</f>
        <v>Sudeste</v>
      </c>
      <c r="E2281" s="90" t="s">
        <v>13619</v>
      </c>
      <c r="F2281" s="91">
        <v>46847</v>
      </c>
      <c r="G2281" s="92">
        <v>69161</v>
      </c>
      <c r="H2281" s="90" t="s">
        <v>9</v>
      </c>
      <c r="I22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1" s="90" t="s">
        <v>5123</v>
      </c>
    </row>
    <row r="2282" spans="1:11">
      <c r="A2282" s="90" t="s">
        <v>5122</v>
      </c>
      <c r="B2282" s="90" t="s">
        <v>5123</v>
      </c>
      <c r="C2282" s="90" t="s">
        <v>10</v>
      </c>
      <c r="D2282" s="90" t="str">
        <f>VLOOKUP(Tabela1[[#This Row],[Origem]],'Perguntas 1 a 24'!$J$28:$K$34,2,FALSE)</f>
        <v>Centro-Oeste</v>
      </c>
      <c r="E2282" s="90" t="s">
        <v>13620</v>
      </c>
      <c r="F2282" s="91">
        <v>46849</v>
      </c>
      <c r="G2282" s="92">
        <v>80140</v>
      </c>
      <c r="H2282" s="90" t="s">
        <v>9</v>
      </c>
      <c r="I22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2" s="90" t="s">
        <v>5153</v>
      </c>
    </row>
    <row r="2283" spans="1:11">
      <c r="A2283" s="90" t="s">
        <v>5152</v>
      </c>
      <c r="B2283" s="90" t="s">
        <v>5153</v>
      </c>
      <c r="C2283" s="90" t="s">
        <v>8</v>
      </c>
      <c r="D2283" s="90" t="str">
        <f>VLOOKUP(Tabela1[[#This Row],[Origem]],'Perguntas 1 a 24'!$J$28:$K$34,2,FALSE)</f>
        <v>Nordeste</v>
      </c>
      <c r="E2283" s="90" t="s">
        <v>13621</v>
      </c>
      <c r="F2283" s="91">
        <v>46849</v>
      </c>
      <c r="G2283" s="92">
        <v>108441</v>
      </c>
      <c r="H2283" s="90" t="s">
        <v>7</v>
      </c>
      <c r="I22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3" s="90" t="s">
        <v>8730</v>
      </c>
    </row>
    <row r="2284" spans="1:11">
      <c r="A2284" s="90" t="s">
        <v>8729</v>
      </c>
      <c r="B2284" s="90" t="s">
        <v>8730</v>
      </c>
      <c r="C2284" s="90" t="s">
        <v>10</v>
      </c>
      <c r="D2284" s="90" t="str">
        <f>VLOOKUP(Tabela1[[#This Row],[Origem]],'Perguntas 1 a 24'!$J$28:$K$34,2,FALSE)</f>
        <v>Centro-Oeste</v>
      </c>
      <c r="E2284" s="90" t="s">
        <v>13622</v>
      </c>
      <c r="F2284" s="91">
        <v>46849</v>
      </c>
      <c r="G2284" s="92">
        <v>78986</v>
      </c>
      <c r="H2284" s="90" t="s">
        <v>7</v>
      </c>
      <c r="I22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4" s="90" t="s">
        <v>9528</v>
      </c>
    </row>
    <row r="2285" spans="1:11">
      <c r="A2285" s="90" t="s">
        <v>9527</v>
      </c>
      <c r="B2285" s="90" t="s">
        <v>9528</v>
      </c>
      <c r="C2285" s="90" t="s">
        <v>12</v>
      </c>
      <c r="D2285" s="90" t="str">
        <f>VLOOKUP(Tabela1[[#This Row],[Origem]],'Perguntas 1 a 24'!$J$28:$K$34,2,FALSE)</f>
        <v>Sudeste</v>
      </c>
      <c r="E2285" s="90" t="s">
        <v>13623</v>
      </c>
      <c r="F2285" s="91">
        <v>46850</v>
      </c>
      <c r="G2285" s="92">
        <v>119298</v>
      </c>
      <c r="H2285" s="90" t="s">
        <v>11</v>
      </c>
      <c r="I22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5" s="90" t="s">
        <v>4689</v>
      </c>
    </row>
    <row r="2286" spans="1:11">
      <c r="A2286" s="90" t="s">
        <v>4688</v>
      </c>
      <c r="B2286" s="90" t="s">
        <v>4689</v>
      </c>
      <c r="C2286" s="90" t="s">
        <v>6</v>
      </c>
      <c r="D2286" s="90" t="str">
        <f>VLOOKUP(Tabela1[[#This Row],[Origem]],'Perguntas 1 a 24'!$J$28:$K$34,2,FALSE)</f>
        <v>Nordeste</v>
      </c>
      <c r="E2286" s="90" t="s">
        <v>13624</v>
      </c>
      <c r="F2286" s="91">
        <v>46851</v>
      </c>
      <c r="G2286" s="92">
        <v>105969</v>
      </c>
      <c r="H2286" s="90" t="s">
        <v>11</v>
      </c>
      <c r="I22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6" s="90" t="s">
        <v>4989</v>
      </c>
    </row>
    <row r="2287" spans="1:11">
      <c r="A2287" s="90" t="s">
        <v>4988</v>
      </c>
      <c r="B2287" s="90" t="s">
        <v>4989</v>
      </c>
      <c r="C2287" s="90" t="s">
        <v>15</v>
      </c>
      <c r="D2287" s="90" t="str">
        <f>VLOOKUP(Tabela1[[#This Row],[Origem]],'Perguntas 1 a 24'!$J$28:$K$34,2,FALSE)</f>
        <v>Sudeste</v>
      </c>
      <c r="E2287" s="90" t="s">
        <v>13625</v>
      </c>
      <c r="F2287" s="91">
        <v>46851</v>
      </c>
      <c r="G2287" s="92">
        <v>55351</v>
      </c>
      <c r="H2287" s="90" t="s">
        <v>9</v>
      </c>
      <c r="I22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7" s="90" t="s">
        <v>10920</v>
      </c>
    </row>
    <row r="2288" spans="1:11">
      <c r="A2288" s="90" t="s">
        <v>10919</v>
      </c>
      <c r="B2288" s="90" t="s">
        <v>10920</v>
      </c>
      <c r="C2288" s="90" t="s">
        <v>15</v>
      </c>
      <c r="D2288" s="90" t="str">
        <f>VLOOKUP(Tabela1[[#This Row],[Origem]],'Perguntas 1 a 24'!$J$28:$K$34,2,FALSE)</f>
        <v>Sudeste</v>
      </c>
      <c r="E2288" s="90" t="s">
        <v>13626</v>
      </c>
      <c r="F2288" s="91">
        <v>46852</v>
      </c>
      <c r="G2288" s="92">
        <v>68478</v>
      </c>
      <c r="H2288" s="90" t="s">
        <v>14</v>
      </c>
      <c r="I22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8" s="90" t="s">
        <v>11055</v>
      </c>
    </row>
    <row r="2289" spans="1:11">
      <c r="A2289" s="90" t="s">
        <v>11054</v>
      </c>
      <c r="B2289" s="90" t="s">
        <v>11055</v>
      </c>
      <c r="C2289" s="90" t="s">
        <v>13</v>
      </c>
      <c r="D2289" s="90" t="str">
        <f>VLOOKUP(Tabela1[[#This Row],[Origem]],'Perguntas 1 a 24'!$J$28:$K$34,2,FALSE)</f>
        <v>Sudeste</v>
      </c>
      <c r="E2289" s="90" t="s">
        <v>13627</v>
      </c>
      <c r="F2289" s="91">
        <v>46852</v>
      </c>
      <c r="G2289" s="92">
        <v>117208</v>
      </c>
      <c r="H2289" s="90" t="s">
        <v>7</v>
      </c>
      <c r="I22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89" s="90" t="s">
        <v>6163</v>
      </c>
    </row>
    <row r="2290" spans="1:11">
      <c r="A2290" s="90" t="s">
        <v>6162</v>
      </c>
      <c r="B2290" s="90" t="s">
        <v>6163</v>
      </c>
      <c r="C2290" s="90" t="s">
        <v>8</v>
      </c>
      <c r="D2290" s="90" t="str">
        <f>VLOOKUP(Tabela1[[#This Row],[Origem]],'Perguntas 1 a 24'!$J$28:$K$34,2,FALSE)</f>
        <v>Nordeste</v>
      </c>
      <c r="E2290" s="90" t="s">
        <v>13628</v>
      </c>
      <c r="F2290" s="91">
        <v>46853</v>
      </c>
      <c r="G2290" s="92">
        <v>51494</v>
      </c>
      <c r="H2290" s="90" t="s">
        <v>11</v>
      </c>
      <c r="I22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90" s="90" t="s">
        <v>10356</v>
      </c>
    </row>
    <row r="2291" spans="1:11">
      <c r="A2291" s="90" t="s">
        <v>10355</v>
      </c>
      <c r="B2291" s="90" t="s">
        <v>10356</v>
      </c>
      <c r="C2291" s="90" t="s">
        <v>15</v>
      </c>
      <c r="D2291" s="90" t="str">
        <f>VLOOKUP(Tabela1[[#This Row],[Origem]],'Perguntas 1 a 24'!$J$28:$K$34,2,FALSE)</f>
        <v>Sudeste</v>
      </c>
      <c r="E2291" s="90" t="s">
        <v>13629</v>
      </c>
      <c r="F2291" s="91">
        <v>46853</v>
      </c>
      <c r="G2291" s="92">
        <v>26525</v>
      </c>
      <c r="H2291" s="90" t="s">
        <v>9</v>
      </c>
      <c r="I22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91" s="90" t="s">
        <v>5105</v>
      </c>
    </row>
    <row r="2292" spans="1:11">
      <c r="A2292" s="90" t="s">
        <v>5104</v>
      </c>
      <c r="B2292" s="90" t="s">
        <v>5105</v>
      </c>
      <c r="C2292" s="90" t="s">
        <v>10</v>
      </c>
      <c r="D2292" s="90" t="str">
        <f>VLOOKUP(Tabela1[[#This Row],[Origem]],'Perguntas 1 a 24'!$J$28:$K$34,2,FALSE)</f>
        <v>Centro-Oeste</v>
      </c>
      <c r="E2292" s="90" t="s">
        <v>13630</v>
      </c>
      <c r="F2292" s="91">
        <v>46854</v>
      </c>
      <c r="G2292" s="92">
        <v>100479</v>
      </c>
      <c r="H2292" s="90" t="s">
        <v>14</v>
      </c>
      <c r="I22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92" s="90" t="s">
        <v>3973</v>
      </c>
    </row>
    <row r="2293" spans="1:11">
      <c r="A2293" s="90" t="s">
        <v>3972</v>
      </c>
      <c r="B2293" s="90" t="s">
        <v>3973</v>
      </c>
      <c r="C2293" s="90" t="s">
        <v>13</v>
      </c>
      <c r="D2293" s="90" t="str">
        <f>VLOOKUP(Tabela1[[#This Row],[Origem]],'Perguntas 1 a 24'!$J$28:$K$34,2,FALSE)</f>
        <v>Sudeste</v>
      </c>
      <c r="E2293" s="90" t="s">
        <v>13631</v>
      </c>
      <c r="F2293" s="91">
        <v>46855</v>
      </c>
      <c r="G2293" s="92">
        <v>92297</v>
      </c>
      <c r="H2293" s="90" t="s">
        <v>9</v>
      </c>
      <c r="I22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93" s="90" t="s">
        <v>7543</v>
      </c>
    </row>
    <row r="2294" spans="1:11">
      <c r="A2294" s="90" t="s">
        <v>7542</v>
      </c>
      <c r="B2294" s="90" t="s">
        <v>7543</v>
      </c>
      <c r="C2294" s="90" t="s">
        <v>15</v>
      </c>
      <c r="D2294" s="90" t="str">
        <f>VLOOKUP(Tabela1[[#This Row],[Origem]],'Perguntas 1 a 24'!$J$28:$K$34,2,FALSE)</f>
        <v>Sudeste</v>
      </c>
      <c r="E2294" s="90" t="s">
        <v>13632</v>
      </c>
      <c r="F2294" s="91">
        <v>46855</v>
      </c>
      <c r="G2294" s="92">
        <v>24002</v>
      </c>
      <c r="H2294" s="90" t="s">
        <v>11</v>
      </c>
      <c r="I22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94" s="90" t="s">
        <v>10128</v>
      </c>
    </row>
    <row r="2295" spans="1:11">
      <c r="A2295" s="90" t="s">
        <v>10127</v>
      </c>
      <c r="B2295" s="90" t="s">
        <v>10128</v>
      </c>
      <c r="C2295" s="90" t="s">
        <v>12</v>
      </c>
      <c r="D2295" s="90" t="str">
        <f>VLOOKUP(Tabela1[[#This Row],[Origem]],'Perguntas 1 a 24'!$J$28:$K$34,2,FALSE)</f>
        <v>Sudeste</v>
      </c>
      <c r="E2295" s="90" t="s">
        <v>13633</v>
      </c>
      <c r="F2295" s="91">
        <v>46855</v>
      </c>
      <c r="G2295" s="92">
        <v>94637</v>
      </c>
      <c r="H2295" s="90" t="s">
        <v>11</v>
      </c>
      <c r="I22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95" s="90" t="s">
        <v>8349</v>
      </c>
    </row>
    <row r="2296" spans="1:11">
      <c r="A2296" s="90" t="s">
        <v>8348</v>
      </c>
      <c r="B2296" s="90" t="s">
        <v>8349</v>
      </c>
      <c r="C2296" s="90" t="s">
        <v>10</v>
      </c>
      <c r="D2296" s="90" t="str">
        <f>VLOOKUP(Tabela1[[#This Row],[Origem]],'Perguntas 1 a 24'!$J$28:$K$34,2,FALSE)</f>
        <v>Centro-Oeste</v>
      </c>
      <c r="E2296" s="90" t="s">
        <v>13634</v>
      </c>
      <c r="F2296" s="91">
        <v>46856</v>
      </c>
      <c r="G2296" s="92">
        <v>106916</v>
      </c>
      <c r="H2296" s="90" t="s">
        <v>7</v>
      </c>
      <c r="I22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96" s="90" t="s">
        <v>8626</v>
      </c>
    </row>
    <row r="2297" spans="1:11">
      <c r="A2297" s="90" t="s">
        <v>8625</v>
      </c>
      <c r="B2297" s="90" t="s">
        <v>8626</v>
      </c>
      <c r="C2297" s="90" t="s">
        <v>8</v>
      </c>
      <c r="D2297" s="90" t="str">
        <f>VLOOKUP(Tabela1[[#This Row],[Origem]],'Perguntas 1 a 24'!$J$28:$K$34,2,FALSE)</f>
        <v>Nordeste</v>
      </c>
      <c r="E2297" s="90" t="s">
        <v>13635</v>
      </c>
      <c r="F2297" s="91">
        <v>46857</v>
      </c>
      <c r="G2297" s="92">
        <v>96766</v>
      </c>
      <c r="H2297" s="90" t="s">
        <v>9</v>
      </c>
      <c r="I22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97" s="90" t="s">
        <v>9104</v>
      </c>
    </row>
    <row r="2298" spans="1:11">
      <c r="A2298" s="90" t="s">
        <v>9103</v>
      </c>
      <c r="B2298" s="90" t="s">
        <v>9104</v>
      </c>
      <c r="C2298" s="90" t="s">
        <v>10</v>
      </c>
      <c r="D2298" s="90" t="str">
        <f>VLOOKUP(Tabela1[[#This Row],[Origem]],'Perguntas 1 a 24'!$J$28:$K$34,2,FALSE)</f>
        <v>Centro-Oeste</v>
      </c>
      <c r="E2298" s="90" t="s">
        <v>13636</v>
      </c>
      <c r="F2298" s="91">
        <v>46857</v>
      </c>
      <c r="G2298" s="92">
        <v>43591</v>
      </c>
      <c r="H2298" s="90" t="s">
        <v>11</v>
      </c>
      <c r="I22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298" s="90" t="s">
        <v>9336</v>
      </c>
    </row>
    <row r="2299" spans="1:11">
      <c r="A2299" s="90" t="s">
        <v>9335</v>
      </c>
      <c r="B2299" s="90" t="s">
        <v>9336</v>
      </c>
      <c r="C2299" s="90" t="s">
        <v>16</v>
      </c>
      <c r="D2299" s="90" t="str">
        <f>VLOOKUP(Tabela1[[#This Row],[Origem]],'Perguntas 1 a 24'!$J$28:$K$34,2,FALSE)</f>
        <v>Sudeste</v>
      </c>
      <c r="E2299" s="90" t="s">
        <v>13637</v>
      </c>
      <c r="F2299" s="91">
        <v>46858</v>
      </c>
      <c r="G2299" s="92">
        <v>104987</v>
      </c>
      <c r="H2299" s="90" t="s">
        <v>9</v>
      </c>
      <c r="I22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299" s="90" t="s">
        <v>10700</v>
      </c>
    </row>
    <row r="2300" spans="1:11">
      <c r="A2300" s="90" t="s">
        <v>10699</v>
      </c>
      <c r="B2300" s="90" t="s">
        <v>10700</v>
      </c>
      <c r="C2300" s="90" t="s">
        <v>6</v>
      </c>
      <c r="D2300" s="90" t="str">
        <f>VLOOKUP(Tabela1[[#This Row],[Origem]],'Perguntas 1 a 24'!$J$28:$K$34,2,FALSE)</f>
        <v>Nordeste</v>
      </c>
      <c r="E2300" s="90" t="s">
        <v>13638</v>
      </c>
      <c r="F2300" s="91">
        <v>46858</v>
      </c>
      <c r="G2300" s="92">
        <v>113642</v>
      </c>
      <c r="H2300" s="90" t="s">
        <v>9</v>
      </c>
      <c r="I23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00" s="90" t="s">
        <v>6319</v>
      </c>
    </row>
    <row r="2301" spans="1:11">
      <c r="A2301" s="90" t="s">
        <v>6318</v>
      </c>
      <c r="B2301" s="90" t="s">
        <v>6319</v>
      </c>
      <c r="C2301" s="90" t="s">
        <v>15</v>
      </c>
      <c r="D2301" s="90" t="str">
        <f>VLOOKUP(Tabela1[[#This Row],[Origem]],'Perguntas 1 a 24'!$J$28:$K$34,2,FALSE)</f>
        <v>Sudeste</v>
      </c>
      <c r="E2301" s="90" t="s">
        <v>13639</v>
      </c>
      <c r="F2301" s="91">
        <v>46859</v>
      </c>
      <c r="G2301" s="92">
        <v>48765</v>
      </c>
      <c r="H2301" s="90" t="s">
        <v>7</v>
      </c>
      <c r="I23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01" s="90" t="s">
        <v>10940</v>
      </c>
    </row>
    <row r="2302" spans="1:11">
      <c r="A2302" s="90" t="s">
        <v>10939</v>
      </c>
      <c r="B2302" s="90" t="s">
        <v>10940</v>
      </c>
      <c r="C2302" s="90" t="s">
        <v>15</v>
      </c>
      <c r="D2302" s="90" t="str">
        <f>VLOOKUP(Tabela1[[#This Row],[Origem]],'Perguntas 1 a 24'!$J$28:$K$34,2,FALSE)</f>
        <v>Sudeste</v>
      </c>
      <c r="E2302" s="90" t="s">
        <v>13640</v>
      </c>
      <c r="F2302" s="91">
        <v>46860</v>
      </c>
      <c r="G2302" s="92">
        <v>37923</v>
      </c>
      <c r="H2302" s="90" t="s">
        <v>14</v>
      </c>
      <c r="I23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02" s="90" t="s">
        <v>6621</v>
      </c>
    </row>
    <row r="2303" spans="1:11">
      <c r="A2303" s="90" t="s">
        <v>6620</v>
      </c>
      <c r="B2303" s="90" t="s">
        <v>6621</v>
      </c>
      <c r="C2303" s="90" t="s">
        <v>15</v>
      </c>
      <c r="D2303" s="90" t="str">
        <f>VLOOKUP(Tabela1[[#This Row],[Origem]],'Perguntas 1 a 24'!$J$28:$K$34,2,FALSE)</f>
        <v>Sudeste</v>
      </c>
      <c r="E2303" s="90" t="s">
        <v>13641</v>
      </c>
      <c r="F2303" s="91">
        <v>46862</v>
      </c>
      <c r="G2303" s="92">
        <v>63842</v>
      </c>
      <c r="H2303" s="90" t="s">
        <v>9</v>
      </c>
      <c r="I23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03" s="90" t="s">
        <v>9006</v>
      </c>
    </row>
    <row r="2304" spans="1:11">
      <c r="A2304" s="90" t="s">
        <v>9005</v>
      </c>
      <c r="B2304" s="90" t="s">
        <v>9006</v>
      </c>
      <c r="C2304" s="90" t="s">
        <v>12</v>
      </c>
      <c r="D2304" s="90" t="str">
        <f>VLOOKUP(Tabela1[[#This Row],[Origem]],'Perguntas 1 a 24'!$J$28:$K$34,2,FALSE)</f>
        <v>Sudeste</v>
      </c>
      <c r="E2304" s="90" t="s">
        <v>13642</v>
      </c>
      <c r="F2304" s="91">
        <v>46862</v>
      </c>
      <c r="G2304" s="92">
        <v>73358</v>
      </c>
      <c r="H2304" s="90" t="s">
        <v>11</v>
      </c>
      <c r="I23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04" s="90" t="s">
        <v>7695</v>
      </c>
    </row>
    <row r="2305" spans="1:11">
      <c r="A2305" s="90" t="s">
        <v>7694</v>
      </c>
      <c r="B2305" s="90" t="s">
        <v>7695</v>
      </c>
      <c r="C2305" s="90" t="s">
        <v>8</v>
      </c>
      <c r="D2305" s="90" t="str">
        <f>VLOOKUP(Tabela1[[#This Row],[Origem]],'Perguntas 1 a 24'!$J$28:$K$34,2,FALSE)</f>
        <v>Nordeste</v>
      </c>
      <c r="E2305" s="90" t="s">
        <v>13643</v>
      </c>
      <c r="F2305" s="91">
        <v>46863</v>
      </c>
      <c r="G2305" s="92">
        <v>101416</v>
      </c>
      <c r="H2305" s="90" t="s">
        <v>9</v>
      </c>
      <c r="I23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05" s="90" t="s">
        <v>8540</v>
      </c>
    </row>
    <row r="2306" spans="1:11">
      <c r="A2306" s="90" t="s">
        <v>8539</v>
      </c>
      <c r="B2306" s="90" t="s">
        <v>8540</v>
      </c>
      <c r="C2306" s="90" t="s">
        <v>16</v>
      </c>
      <c r="D2306" s="90" t="str">
        <f>VLOOKUP(Tabela1[[#This Row],[Origem]],'Perguntas 1 a 24'!$J$28:$K$34,2,FALSE)</f>
        <v>Sudeste</v>
      </c>
      <c r="E2306" s="90" t="s">
        <v>13644</v>
      </c>
      <c r="F2306" s="91">
        <v>46863</v>
      </c>
      <c r="G2306" s="92">
        <v>51501</v>
      </c>
      <c r="H2306" s="90" t="s">
        <v>11</v>
      </c>
      <c r="I23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06" s="90" t="s">
        <v>9546</v>
      </c>
    </row>
    <row r="2307" spans="1:11">
      <c r="A2307" s="90" t="s">
        <v>9545</v>
      </c>
      <c r="B2307" s="90" t="s">
        <v>9546</v>
      </c>
      <c r="C2307" s="90" t="s">
        <v>8</v>
      </c>
      <c r="D2307" s="90" t="str">
        <f>VLOOKUP(Tabela1[[#This Row],[Origem]],'Perguntas 1 a 24'!$J$28:$K$34,2,FALSE)</f>
        <v>Nordeste</v>
      </c>
      <c r="E2307" s="90" t="s">
        <v>13645</v>
      </c>
      <c r="F2307" s="91">
        <v>46866</v>
      </c>
      <c r="G2307" s="92">
        <v>102403</v>
      </c>
      <c r="H2307" s="90" t="s">
        <v>14</v>
      </c>
      <c r="I23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07" s="90" t="s">
        <v>7157</v>
      </c>
    </row>
    <row r="2308" spans="1:11">
      <c r="A2308" s="90" t="s">
        <v>7156</v>
      </c>
      <c r="B2308" s="90" t="s">
        <v>7157</v>
      </c>
      <c r="C2308" s="90" t="s">
        <v>16</v>
      </c>
      <c r="D2308" s="90" t="str">
        <f>VLOOKUP(Tabela1[[#This Row],[Origem]],'Perguntas 1 a 24'!$J$28:$K$34,2,FALSE)</f>
        <v>Sudeste</v>
      </c>
      <c r="E2308" s="90" t="s">
        <v>13646</v>
      </c>
      <c r="F2308" s="91">
        <v>46867</v>
      </c>
      <c r="G2308" s="92">
        <v>40141</v>
      </c>
      <c r="H2308" s="90" t="s">
        <v>9</v>
      </c>
      <c r="I23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08" s="90" t="s">
        <v>5719</v>
      </c>
    </row>
    <row r="2309" spans="1:11">
      <c r="A2309" s="90" t="s">
        <v>5718</v>
      </c>
      <c r="B2309" s="90" t="s">
        <v>5719</v>
      </c>
      <c r="C2309" s="90" t="s">
        <v>10</v>
      </c>
      <c r="D2309" s="90" t="str">
        <f>VLOOKUP(Tabela1[[#This Row],[Origem]],'Perguntas 1 a 24'!$J$28:$K$34,2,FALSE)</f>
        <v>Centro-Oeste</v>
      </c>
      <c r="E2309" s="90" t="s">
        <v>13647</v>
      </c>
      <c r="F2309" s="91">
        <v>46869</v>
      </c>
      <c r="G2309" s="92">
        <v>24502</v>
      </c>
      <c r="H2309" s="90" t="s">
        <v>11</v>
      </c>
      <c r="I23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09" s="90" t="s">
        <v>5741</v>
      </c>
    </row>
    <row r="2310" spans="1:11">
      <c r="A2310" s="90" t="s">
        <v>5740</v>
      </c>
      <c r="B2310" s="90" t="s">
        <v>5741</v>
      </c>
      <c r="C2310" s="90" t="s">
        <v>15</v>
      </c>
      <c r="D2310" s="90" t="str">
        <f>VLOOKUP(Tabela1[[#This Row],[Origem]],'Perguntas 1 a 24'!$J$28:$K$34,2,FALSE)</f>
        <v>Sudeste</v>
      </c>
      <c r="E2310" s="90" t="s">
        <v>13648</v>
      </c>
      <c r="F2310" s="91">
        <v>46869</v>
      </c>
      <c r="G2310" s="92">
        <v>115257</v>
      </c>
      <c r="H2310" s="90" t="s">
        <v>7</v>
      </c>
      <c r="I23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10" s="90" t="s">
        <v>8459</v>
      </c>
    </row>
    <row r="2311" spans="1:11">
      <c r="A2311" s="90" t="s">
        <v>8458</v>
      </c>
      <c r="B2311" s="90" t="s">
        <v>8459</v>
      </c>
      <c r="C2311" s="90" t="s">
        <v>10</v>
      </c>
      <c r="D2311" s="90" t="str">
        <f>VLOOKUP(Tabela1[[#This Row],[Origem]],'Perguntas 1 a 24'!$J$28:$K$34,2,FALSE)</f>
        <v>Centro-Oeste</v>
      </c>
      <c r="E2311" s="90" t="s">
        <v>13649</v>
      </c>
      <c r="F2311" s="91">
        <v>46869</v>
      </c>
      <c r="G2311" s="92">
        <v>40369</v>
      </c>
      <c r="H2311" s="90" t="s">
        <v>9</v>
      </c>
      <c r="I23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11" s="90" t="s">
        <v>10302</v>
      </c>
    </row>
    <row r="2312" spans="1:11">
      <c r="A2312" s="90" t="s">
        <v>10301</v>
      </c>
      <c r="B2312" s="90" t="s">
        <v>10302</v>
      </c>
      <c r="C2312" s="90" t="s">
        <v>6</v>
      </c>
      <c r="D2312" s="90" t="str">
        <f>VLOOKUP(Tabela1[[#This Row],[Origem]],'Perguntas 1 a 24'!$J$28:$K$34,2,FALSE)</f>
        <v>Nordeste</v>
      </c>
      <c r="E2312" s="90" t="s">
        <v>13650</v>
      </c>
      <c r="F2312" s="91">
        <v>46869</v>
      </c>
      <c r="G2312" s="92">
        <v>25547</v>
      </c>
      <c r="H2312" s="90" t="s">
        <v>11</v>
      </c>
      <c r="I23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12" s="90" t="s">
        <v>10404</v>
      </c>
    </row>
    <row r="2313" spans="1:11">
      <c r="A2313" s="90" t="s">
        <v>10403</v>
      </c>
      <c r="B2313" s="90" t="s">
        <v>10404</v>
      </c>
      <c r="C2313" s="90" t="s">
        <v>6</v>
      </c>
      <c r="D2313" s="90" t="str">
        <f>VLOOKUP(Tabela1[[#This Row],[Origem]],'Perguntas 1 a 24'!$J$28:$K$34,2,FALSE)</f>
        <v>Nordeste</v>
      </c>
      <c r="E2313" s="90" t="s">
        <v>13651</v>
      </c>
      <c r="F2313" s="91">
        <v>46869</v>
      </c>
      <c r="G2313" s="92">
        <v>33528</v>
      </c>
      <c r="H2313" s="90" t="s">
        <v>14</v>
      </c>
      <c r="I23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13" s="90" t="s">
        <v>5053</v>
      </c>
    </row>
    <row r="2314" spans="1:11">
      <c r="A2314" s="90" t="s">
        <v>5052</v>
      </c>
      <c r="B2314" s="90" t="s">
        <v>5053</v>
      </c>
      <c r="C2314" s="90" t="s">
        <v>10</v>
      </c>
      <c r="D2314" s="90" t="str">
        <f>VLOOKUP(Tabela1[[#This Row],[Origem]],'Perguntas 1 a 24'!$J$28:$K$34,2,FALSE)</f>
        <v>Centro-Oeste</v>
      </c>
      <c r="E2314" s="90" t="s">
        <v>13652</v>
      </c>
      <c r="F2314" s="91">
        <v>46871</v>
      </c>
      <c r="G2314" s="92">
        <v>76378</v>
      </c>
      <c r="H2314" s="90" t="s">
        <v>9</v>
      </c>
      <c r="I23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14" s="90" t="s">
        <v>8586</v>
      </c>
    </row>
    <row r="2315" spans="1:11">
      <c r="A2315" s="90" t="s">
        <v>8585</v>
      </c>
      <c r="B2315" s="90" t="s">
        <v>8586</v>
      </c>
      <c r="C2315" s="90" t="s">
        <v>10</v>
      </c>
      <c r="D2315" s="90" t="str">
        <f>VLOOKUP(Tabela1[[#This Row],[Origem]],'Perguntas 1 a 24'!$J$28:$K$34,2,FALSE)</f>
        <v>Centro-Oeste</v>
      </c>
      <c r="E2315" s="90" t="s">
        <v>13653</v>
      </c>
      <c r="F2315" s="91">
        <v>46871</v>
      </c>
      <c r="G2315" s="92">
        <v>91751</v>
      </c>
      <c r="H2315" s="90" t="s">
        <v>7</v>
      </c>
      <c r="I23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15" s="90" t="s">
        <v>10056</v>
      </c>
    </row>
    <row r="2316" spans="1:11">
      <c r="A2316" s="90" t="s">
        <v>10055</v>
      </c>
      <c r="B2316" s="90" t="s">
        <v>10056</v>
      </c>
      <c r="C2316" s="90" t="s">
        <v>16</v>
      </c>
      <c r="D2316" s="90" t="str">
        <f>VLOOKUP(Tabela1[[#This Row],[Origem]],'Perguntas 1 a 24'!$J$28:$K$34,2,FALSE)</f>
        <v>Sudeste</v>
      </c>
      <c r="E2316" s="90" t="s">
        <v>13654</v>
      </c>
      <c r="F2316" s="91">
        <v>46871</v>
      </c>
      <c r="G2316" s="92">
        <v>39381</v>
      </c>
      <c r="H2316" s="90" t="s">
        <v>11</v>
      </c>
      <c r="I23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16" s="90" t="s">
        <v>5589</v>
      </c>
    </row>
    <row r="2317" spans="1:11">
      <c r="A2317" s="90" t="s">
        <v>5588</v>
      </c>
      <c r="B2317" s="90" t="s">
        <v>5589</v>
      </c>
      <c r="C2317" s="90" t="s">
        <v>12</v>
      </c>
      <c r="D2317" s="90" t="str">
        <f>VLOOKUP(Tabela1[[#This Row],[Origem]],'Perguntas 1 a 24'!$J$28:$K$34,2,FALSE)</f>
        <v>Sudeste</v>
      </c>
      <c r="E2317" s="90" t="s">
        <v>13655</v>
      </c>
      <c r="F2317" s="91">
        <v>46872</v>
      </c>
      <c r="G2317" s="92">
        <v>31359</v>
      </c>
      <c r="H2317" s="90" t="s">
        <v>9</v>
      </c>
      <c r="I23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17" s="90" t="s">
        <v>11270</v>
      </c>
    </row>
    <row r="2318" spans="1:11">
      <c r="A2318" s="90" t="s">
        <v>11269</v>
      </c>
      <c r="B2318" s="90" t="s">
        <v>11270</v>
      </c>
      <c r="C2318" s="90" t="s">
        <v>6</v>
      </c>
      <c r="D2318" s="90" t="str">
        <f>VLOOKUP(Tabela1[[#This Row],[Origem]],'Perguntas 1 a 24'!$J$28:$K$34,2,FALSE)</f>
        <v>Nordeste</v>
      </c>
      <c r="E2318" s="90" t="s">
        <v>13656</v>
      </c>
      <c r="F2318" s="91">
        <v>46874</v>
      </c>
      <c r="G2318" s="92">
        <v>103915</v>
      </c>
      <c r="H2318" s="90" t="s">
        <v>9</v>
      </c>
      <c r="I23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18" s="90" t="s">
        <v>4991</v>
      </c>
    </row>
    <row r="2319" spans="1:11">
      <c r="A2319" s="90" t="s">
        <v>4990</v>
      </c>
      <c r="B2319" s="90" t="s">
        <v>4991</v>
      </c>
      <c r="C2319" s="90" t="s">
        <v>6</v>
      </c>
      <c r="D2319" s="90" t="str">
        <f>VLOOKUP(Tabela1[[#This Row],[Origem]],'Perguntas 1 a 24'!$J$28:$K$34,2,FALSE)</f>
        <v>Nordeste</v>
      </c>
      <c r="E2319" s="90" t="s">
        <v>13657</v>
      </c>
      <c r="F2319" s="91">
        <v>46875</v>
      </c>
      <c r="G2319" s="92">
        <v>112404</v>
      </c>
      <c r="H2319" s="90" t="s">
        <v>14</v>
      </c>
      <c r="I23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19" s="90" t="s">
        <v>6585</v>
      </c>
    </row>
    <row r="2320" spans="1:11">
      <c r="A2320" s="90" t="s">
        <v>6584</v>
      </c>
      <c r="B2320" s="90" t="s">
        <v>6585</v>
      </c>
      <c r="C2320" s="90" t="s">
        <v>8</v>
      </c>
      <c r="D2320" s="90" t="str">
        <f>VLOOKUP(Tabela1[[#This Row],[Origem]],'Perguntas 1 a 24'!$J$28:$K$34,2,FALSE)</f>
        <v>Nordeste</v>
      </c>
      <c r="E2320" s="90" t="s">
        <v>13658</v>
      </c>
      <c r="F2320" s="91">
        <v>46875</v>
      </c>
      <c r="G2320" s="92">
        <v>55011</v>
      </c>
      <c r="H2320" s="90" t="s">
        <v>14</v>
      </c>
      <c r="I23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20" s="90" t="s">
        <v>8423</v>
      </c>
    </row>
    <row r="2321" spans="1:11">
      <c r="A2321" s="90" t="s">
        <v>8422</v>
      </c>
      <c r="B2321" s="90" t="s">
        <v>8423</v>
      </c>
      <c r="C2321" s="90" t="s">
        <v>12</v>
      </c>
      <c r="D2321" s="90" t="str">
        <f>VLOOKUP(Tabela1[[#This Row],[Origem]],'Perguntas 1 a 24'!$J$28:$K$34,2,FALSE)</f>
        <v>Sudeste</v>
      </c>
      <c r="E2321" s="90" t="s">
        <v>13659</v>
      </c>
      <c r="F2321" s="91">
        <v>46877</v>
      </c>
      <c r="G2321" s="92">
        <v>54886</v>
      </c>
      <c r="H2321" s="90" t="s">
        <v>9</v>
      </c>
      <c r="I23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21" s="90" t="s">
        <v>8836</v>
      </c>
    </row>
    <row r="2322" spans="1:11">
      <c r="A2322" s="90" t="s">
        <v>8835</v>
      </c>
      <c r="B2322" s="90" t="s">
        <v>8836</v>
      </c>
      <c r="C2322" s="90" t="s">
        <v>13</v>
      </c>
      <c r="D2322" s="90" t="str">
        <f>VLOOKUP(Tabela1[[#This Row],[Origem]],'Perguntas 1 a 24'!$J$28:$K$34,2,FALSE)</f>
        <v>Sudeste</v>
      </c>
      <c r="E2322" s="90" t="s">
        <v>13660</v>
      </c>
      <c r="F2322" s="91">
        <v>46877</v>
      </c>
      <c r="G2322" s="92">
        <v>117636</v>
      </c>
      <c r="H2322" s="90" t="s">
        <v>11</v>
      </c>
      <c r="I23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22" s="90" t="s">
        <v>9272</v>
      </c>
    </row>
    <row r="2323" spans="1:11">
      <c r="A2323" s="90" t="s">
        <v>9271</v>
      </c>
      <c r="B2323" s="90" t="s">
        <v>9272</v>
      </c>
      <c r="C2323" s="90" t="s">
        <v>6</v>
      </c>
      <c r="D2323" s="90" t="str">
        <f>VLOOKUP(Tabela1[[#This Row],[Origem]],'Perguntas 1 a 24'!$J$28:$K$34,2,FALSE)</f>
        <v>Nordeste</v>
      </c>
      <c r="E2323" s="90" t="s">
        <v>13661</v>
      </c>
      <c r="F2323" s="91">
        <v>46877</v>
      </c>
      <c r="G2323" s="92">
        <v>47364</v>
      </c>
      <c r="H2323" s="90" t="s">
        <v>14</v>
      </c>
      <c r="I23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23" s="90" t="s">
        <v>10236</v>
      </c>
    </row>
    <row r="2324" spans="1:11">
      <c r="A2324" s="90" t="s">
        <v>10235</v>
      </c>
      <c r="B2324" s="90" t="s">
        <v>10236</v>
      </c>
      <c r="C2324" s="90" t="s">
        <v>13</v>
      </c>
      <c r="D2324" s="90" t="str">
        <f>VLOOKUP(Tabela1[[#This Row],[Origem]],'Perguntas 1 a 24'!$J$28:$K$34,2,FALSE)</f>
        <v>Sudeste</v>
      </c>
      <c r="E2324" s="90" t="s">
        <v>13662</v>
      </c>
      <c r="F2324" s="91">
        <v>46878</v>
      </c>
      <c r="G2324" s="92">
        <v>65255</v>
      </c>
      <c r="H2324" s="90" t="s">
        <v>11</v>
      </c>
      <c r="I23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24" s="90" t="s">
        <v>4605</v>
      </c>
    </row>
    <row r="2325" spans="1:11">
      <c r="A2325" s="90" t="s">
        <v>4604</v>
      </c>
      <c r="B2325" s="90" t="s">
        <v>4605</v>
      </c>
      <c r="C2325" s="90" t="s">
        <v>15</v>
      </c>
      <c r="D2325" s="90" t="str">
        <f>VLOOKUP(Tabela1[[#This Row],[Origem]],'Perguntas 1 a 24'!$J$28:$K$34,2,FALSE)</f>
        <v>Sudeste</v>
      </c>
      <c r="E2325" s="90" t="s">
        <v>13663</v>
      </c>
      <c r="F2325" s="91">
        <v>46879</v>
      </c>
      <c r="G2325" s="92">
        <v>59590</v>
      </c>
      <c r="H2325" s="90" t="s">
        <v>7</v>
      </c>
      <c r="I23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25" s="90" t="s">
        <v>10098</v>
      </c>
    </row>
    <row r="2326" spans="1:11">
      <c r="A2326" s="90" t="s">
        <v>10097</v>
      </c>
      <c r="B2326" s="90" t="s">
        <v>10098</v>
      </c>
      <c r="C2326" s="90" t="s">
        <v>16</v>
      </c>
      <c r="D2326" s="90" t="str">
        <f>VLOOKUP(Tabela1[[#This Row],[Origem]],'Perguntas 1 a 24'!$J$28:$K$34,2,FALSE)</f>
        <v>Sudeste</v>
      </c>
      <c r="E2326" s="90" t="s">
        <v>13664</v>
      </c>
      <c r="F2326" s="91">
        <v>46879</v>
      </c>
      <c r="G2326" s="92">
        <v>23494</v>
      </c>
      <c r="H2326" s="90" t="s">
        <v>14</v>
      </c>
      <c r="I23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26" s="90" t="s">
        <v>7927</v>
      </c>
    </row>
    <row r="2327" spans="1:11">
      <c r="A2327" s="90" t="s">
        <v>7926</v>
      </c>
      <c r="B2327" s="90" t="s">
        <v>7927</v>
      </c>
      <c r="C2327" s="90" t="s">
        <v>12</v>
      </c>
      <c r="D2327" s="90" t="str">
        <f>VLOOKUP(Tabela1[[#This Row],[Origem]],'Perguntas 1 a 24'!$J$28:$K$34,2,FALSE)</f>
        <v>Sudeste</v>
      </c>
      <c r="E2327" s="90" t="s">
        <v>13665</v>
      </c>
      <c r="F2327" s="91">
        <v>46880</v>
      </c>
      <c r="G2327" s="92">
        <v>55182</v>
      </c>
      <c r="H2327" s="90" t="s">
        <v>11</v>
      </c>
      <c r="I23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27" s="90" t="s">
        <v>4408</v>
      </c>
    </row>
    <row r="2328" spans="1:11">
      <c r="A2328" s="90" t="s">
        <v>4407</v>
      </c>
      <c r="B2328" s="90" t="s">
        <v>4408</v>
      </c>
      <c r="C2328" s="90" t="s">
        <v>6</v>
      </c>
      <c r="D2328" s="90" t="str">
        <f>VLOOKUP(Tabela1[[#This Row],[Origem]],'Perguntas 1 a 24'!$J$28:$K$34,2,FALSE)</f>
        <v>Nordeste</v>
      </c>
      <c r="E2328" s="90" t="s">
        <v>13666</v>
      </c>
      <c r="F2328" s="91">
        <v>46881</v>
      </c>
      <c r="G2328" s="92">
        <v>75434</v>
      </c>
      <c r="H2328" s="90" t="s">
        <v>7</v>
      </c>
      <c r="I23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28" s="90" t="s">
        <v>4480</v>
      </c>
    </row>
    <row r="2329" spans="1:11">
      <c r="A2329" s="90" t="s">
        <v>4479</v>
      </c>
      <c r="B2329" s="90" t="s">
        <v>4480</v>
      </c>
      <c r="C2329" s="90" t="s">
        <v>8</v>
      </c>
      <c r="D2329" s="90" t="str">
        <f>VLOOKUP(Tabela1[[#This Row],[Origem]],'Perguntas 1 a 24'!$J$28:$K$34,2,FALSE)</f>
        <v>Nordeste</v>
      </c>
      <c r="E2329" s="90" t="s">
        <v>13667</v>
      </c>
      <c r="F2329" s="91">
        <v>46882</v>
      </c>
      <c r="G2329" s="92">
        <v>94015</v>
      </c>
      <c r="H2329" s="90" t="s">
        <v>14</v>
      </c>
      <c r="I23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29" s="90" t="s">
        <v>5001</v>
      </c>
    </row>
    <row r="2330" spans="1:11">
      <c r="A2330" s="90" t="s">
        <v>5000</v>
      </c>
      <c r="B2330" s="90" t="s">
        <v>5001</v>
      </c>
      <c r="C2330" s="90" t="s">
        <v>6</v>
      </c>
      <c r="D2330" s="90" t="str">
        <f>VLOOKUP(Tabela1[[#This Row],[Origem]],'Perguntas 1 a 24'!$J$28:$K$34,2,FALSE)</f>
        <v>Nordeste</v>
      </c>
      <c r="E2330" s="90" t="s">
        <v>13668</v>
      </c>
      <c r="F2330" s="91">
        <v>46882</v>
      </c>
      <c r="G2330" s="92">
        <v>80029</v>
      </c>
      <c r="H2330" s="90" t="s">
        <v>14</v>
      </c>
      <c r="I23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30" s="90" t="s">
        <v>7919</v>
      </c>
    </row>
    <row r="2331" spans="1:11">
      <c r="A2331" s="90" t="s">
        <v>7918</v>
      </c>
      <c r="B2331" s="90" t="s">
        <v>7919</v>
      </c>
      <c r="C2331" s="90" t="s">
        <v>6</v>
      </c>
      <c r="D2331" s="90" t="str">
        <f>VLOOKUP(Tabela1[[#This Row],[Origem]],'Perguntas 1 a 24'!$J$28:$K$34,2,FALSE)</f>
        <v>Nordeste</v>
      </c>
      <c r="E2331" s="90" t="s">
        <v>13669</v>
      </c>
      <c r="F2331" s="91">
        <v>46882</v>
      </c>
      <c r="G2331" s="92">
        <v>77121</v>
      </c>
      <c r="H2331" s="90" t="s">
        <v>9</v>
      </c>
      <c r="I23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31" s="90" t="s">
        <v>5701</v>
      </c>
    </row>
    <row r="2332" spans="1:11">
      <c r="A2332" s="90" t="s">
        <v>5700</v>
      </c>
      <c r="B2332" s="90" t="s">
        <v>5701</v>
      </c>
      <c r="C2332" s="90" t="s">
        <v>10</v>
      </c>
      <c r="D2332" s="90" t="str">
        <f>VLOOKUP(Tabela1[[#This Row],[Origem]],'Perguntas 1 a 24'!$J$28:$K$34,2,FALSE)</f>
        <v>Centro-Oeste</v>
      </c>
      <c r="E2332" s="90" t="s">
        <v>13670</v>
      </c>
      <c r="F2332" s="91">
        <v>46883</v>
      </c>
      <c r="G2332" s="92">
        <v>74226</v>
      </c>
      <c r="H2332" s="90" t="s">
        <v>14</v>
      </c>
      <c r="I23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32" s="90" t="s">
        <v>7879</v>
      </c>
    </row>
    <row r="2333" spans="1:11">
      <c r="A2333" s="90" t="s">
        <v>7878</v>
      </c>
      <c r="B2333" s="90" t="s">
        <v>7879</v>
      </c>
      <c r="C2333" s="90" t="s">
        <v>15</v>
      </c>
      <c r="D2333" s="90" t="str">
        <f>VLOOKUP(Tabela1[[#This Row],[Origem]],'Perguntas 1 a 24'!$J$28:$K$34,2,FALSE)</f>
        <v>Sudeste</v>
      </c>
      <c r="E2333" s="90" t="s">
        <v>13671</v>
      </c>
      <c r="F2333" s="91">
        <v>46883</v>
      </c>
      <c r="G2333" s="92">
        <v>70950</v>
      </c>
      <c r="H2333" s="90" t="s">
        <v>7</v>
      </c>
      <c r="I23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33" s="90" t="s">
        <v>7509</v>
      </c>
    </row>
    <row r="2334" spans="1:11">
      <c r="A2334" s="90" t="s">
        <v>7508</v>
      </c>
      <c r="B2334" s="90" t="s">
        <v>7509</v>
      </c>
      <c r="C2334" s="90" t="s">
        <v>8</v>
      </c>
      <c r="D2334" s="90" t="str">
        <f>VLOOKUP(Tabela1[[#This Row],[Origem]],'Perguntas 1 a 24'!$J$28:$K$34,2,FALSE)</f>
        <v>Nordeste</v>
      </c>
      <c r="E2334" s="90" t="s">
        <v>13672</v>
      </c>
      <c r="F2334" s="91">
        <v>46885</v>
      </c>
      <c r="G2334" s="92">
        <v>25254</v>
      </c>
      <c r="H2334" s="90" t="s">
        <v>7</v>
      </c>
      <c r="I23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34" s="90" t="s">
        <v>9816</v>
      </c>
    </row>
    <row r="2335" spans="1:11">
      <c r="A2335" s="90" t="s">
        <v>9815</v>
      </c>
      <c r="B2335" s="90" t="s">
        <v>9816</v>
      </c>
      <c r="C2335" s="90" t="s">
        <v>15</v>
      </c>
      <c r="D2335" s="90" t="str">
        <f>VLOOKUP(Tabela1[[#This Row],[Origem]],'Perguntas 1 a 24'!$J$28:$K$34,2,FALSE)</f>
        <v>Sudeste</v>
      </c>
      <c r="E2335" s="90" t="s">
        <v>13673</v>
      </c>
      <c r="F2335" s="91">
        <v>46885</v>
      </c>
      <c r="G2335" s="92">
        <v>67055</v>
      </c>
      <c r="H2335" s="90" t="s">
        <v>9</v>
      </c>
      <c r="I23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35" s="90" t="s">
        <v>5303</v>
      </c>
    </row>
    <row r="2336" spans="1:11">
      <c r="A2336" s="90" t="s">
        <v>5302</v>
      </c>
      <c r="B2336" s="90" t="s">
        <v>5303</v>
      </c>
      <c r="C2336" s="90" t="s">
        <v>6</v>
      </c>
      <c r="D2336" s="90" t="str">
        <f>VLOOKUP(Tabela1[[#This Row],[Origem]],'Perguntas 1 a 24'!$J$28:$K$34,2,FALSE)</f>
        <v>Nordeste</v>
      </c>
      <c r="E2336" s="90" t="s">
        <v>13674</v>
      </c>
      <c r="F2336" s="91">
        <v>46886</v>
      </c>
      <c r="G2336" s="92">
        <v>65723</v>
      </c>
      <c r="H2336" s="90" t="s">
        <v>7</v>
      </c>
      <c r="I23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36" s="90" t="s">
        <v>8918</v>
      </c>
    </row>
    <row r="2337" spans="1:11">
      <c r="A2337" s="90" t="s">
        <v>8917</v>
      </c>
      <c r="B2337" s="90" t="s">
        <v>8918</v>
      </c>
      <c r="C2337" s="90" t="s">
        <v>12</v>
      </c>
      <c r="D2337" s="90" t="str">
        <f>VLOOKUP(Tabela1[[#This Row],[Origem]],'Perguntas 1 a 24'!$J$28:$K$34,2,FALSE)</f>
        <v>Sudeste</v>
      </c>
      <c r="E2337" s="90" t="s">
        <v>13675</v>
      </c>
      <c r="F2337" s="91">
        <v>46886</v>
      </c>
      <c r="G2337" s="92">
        <v>98572</v>
      </c>
      <c r="H2337" s="90" t="s">
        <v>14</v>
      </c>
      <c r="I23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37" s="90" t="s">
        <v>10006</v>
      </c>
    </row>
    <row r="2338" spans="1:11">
      <c r="A2338" s="90" t="s">
        <v>10005</v>
      </c>
      <c r="B2338" s="90" t="s">
        <v>10006</v>
      </c>
      <c r="C2338" s="90" t="s">
        <v>8</v>
      </c>
      <c r="D2338" s="90" t="str">
        <f>VLOOKUP(Tabela1[[#This Row],[Origem]],'Perguntas 1 a 24'!$J$28:$K$34,2,FALSE)</f>
        <v>Nordeste</v>
      </c>
      <c r="E2338" s="90" t="s">
        <v>13676</v>
      </c>
      <c r="F2338" s="91">
        <v>46886</v>
      </c>
      <c r="G2338" s="92">
        <v>25940</v>
      </c>
      <c r="H2338" s="90" t="s">
        <v>7</v>
      </c>
      <c r="I23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38" s="90" t="s">
        <v>3717</v>
      </c>
    </row>
    <row r="2339" spans="1:11">
      <c r="A2339" s="90" t="s">
        <v>3716</v>
      </c>
      <c r="B2339" s="90" t="s">
        <v>3717</v>
      </c>
      <c r="C2339" s="90" t="s">
        <v>16</v>
      </c>
      <c r="D2339" s="90" t="str">
        <f>VLOOKUP(Tabela1[[#This Row],[Origem]],'Perguntas 1 a 24'!$J$28:$K$34,2,FALSE)</f>
        <v>Sudeste</v>
      </c>
      <c r="E2339" s="90" t="s">
        <v>13677</v>
      </c>
      <c r="F2339" s="91">
        <v>46888</v>
      </c>
      <c r="G2339" s="92">
        <v>100153</v>
      </c>
      <c r="H2339" s="90" t="s">
        <v>7</v>
      </c>
      <c r="I23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39" s="90" t="s">
        <v>3855</v>
      </c>
    </row>
    <row r="2340" spans="1:11">
      <c r="A2340" s="90" t="s">
        <v>3854</v>
      </c>
      <c r="B2340" s="90" t="s">
        <v>3855</v>
      </c>
      <c r="C2340" s="90" t="s">
        <v>13</v>
      </c>
      <c r="D2340" s="90" t="str">
        <f>VLOOKUP(Tabela1[[#This Row],[Origem]],'Perguntas 1 a 24'!$J$28:$K$34,2,FALSE)</f>
        <v>Sudeste</v>
      </c>
      <c r="E2340" s="90" t="s">
        <v>13678</v>
      </c>
      <c r="F2340" s="91">
        <v>46889</v>
      </c>
      <c r="G2340" s="92">
        <v>109477</v>
      </c>
      <c r="H2340" s="90" t="s">
        <v>14</v>
      </c>
      <c r="I23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40" s="90" t="s">
        <v>8758</v>
      </c>
    </row>
    <row r="2341" spans="1:11">
      <c r="A2341" s="90" t="s">
        <v>8757</v>
      </c>
      <c r="B2341" s="90" t="s">
        <v>8758</v>
      </c>
      <c r="C2341" s="90" t="s">
        <v>10</v>
      </c>
      <c r="D2341" s="90" t="str">
        <f>VLOOKUP(Tabela1[[#This Row],[Origem]],'Perguntas 1 a 24'!$J$28:$K$34,2,FALSE)</f>
        <v>Centro-Oeste</v>
      </c>
      <c r="E2341" s="90" t="s">
        <v>13679</v>
      </c>
      <c r="F2341" s="91">
        <v>46889</v>
      </c>
      <c r="G2341" s="92">
        <v>93983</v>
      </c>
      <c r="H2341" s="90" t="s">
        <v>14</v>
      </c>
      <c r="I23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41" s="90" t="s">
        <v>4839</v>
      </c>
    </row>
    <row r="2342" spans="1:11">
      <c r="A2342" s="90" t="s">
        <v>4838</v>
      </c>
      <c r="B2342" s="90" t="s">
        <v>4839</v>
      </c>
      <c r="C2342" s="90" t="s">
        <v>13</v>
      </c>
      <c r="D2342" s="90" t="str">
        <f>VLOOKUP(Tabela1[[#This Row],[Origem]],'Perguntas 1 a 24'!$J$28:$K$34,2,FALSE)</f>
        <v>Sudeste</v>
      </c>
      <c r="E2342" s="90" t="s">
        <v>13680</v>
      </c>
      <c r="F2342" s="91">
        <v>46890</v>
      </c>
      <c r="G2342" s="92">
        <v>77194</v>
      </c>
      <c r="H2342" s="90" t="s">
        <v>9</v>
      </c>
      <c r="I23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42" s="90" t="s">
        <v>3965</v>
      </c>
    </row>
    <row r="2343" spans="1:11">
      <c r="A2343" s="90" t="s">
        <v>3964</v>
      </c>
      <c r="B2343" s="90" t="s">
        <v>3965</v>
      </c>
      <c r="C2343" s="90" t="s">
        <v>16</v>
      </c>
      <c r="D2343" s="90" t="str">
        <f>VLOOKUP(Tabela1[[#This Row],[Origem]],'Perguntas 1 a 24'!$J$28:$K$34,2,FALSE)</f>
        <v>Sudeste</v>
      </c>
      <c r="E2343" s="90" t="s">
        <v>13681</v>
      </c>
      <c r="F2343" s="91">
        <v>46891</v>
      </c>
      <c r="G2343" s="92">
        <v>65859</v>
      </c>
      <c r="H2343" s="90" t="s">
        <v>9</v>
      </c>
      <c r="I23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43" s="90" t="s">
        <v>8277</v>
      </c>
    </row>
    <row r="2344" spans="1:11">
      <c r="A2344" s="90" t="s">
        <v>8276</v>
      </c>
      <c r="B2344" s="90" t="s">
        <v>8277</v>
      </c>
      <c r="C2344" s="90" t="s">
        <v>8</v>
      </c>
      <c r="D2344" s="90" t="str">
        <f>VLOOKUP(Tabela1[[#This Row],[Origem]],'Perguntas 1 a 24'!$J$28:$K$34,2,FALSE)</f>
        <v>Nordeste</v>
      </c>
      <c r="E2344" s="90" t="s">
        <v>13682</v>
      </c>
      <c r="F2344" s="91">
        <v>46891</v>
      </c>
      <c r="G2344" s="92">
        <v>67541</v>
      </c>
      <c r="H2344" s="90" t="s">
        <v>11</v>
      </c>
      <c r="I23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44" s="90" t="s">
        <v>9912</v>
      </c>
    </row>
    <row r="2345" spans="1:11">
      <c r="A2345" s="90" t="s">
        <v>9911</v>
      </c>
      <c r="B2345" s="90" t="s">
        <v>9912</v>
      </c>
      <c r="C2345" s="90" t="s">
        <v>13</v>
      </c>
      <c r="D2345" s="90" t="str">
        <f>VLOOKUP(Tabela1[[#This Row],[Origem]],'Perguntas 1 a 24'!$J$28:$K$34,2,FALSE)</f>
        <v>Sudeste</v>
      </c>
      <c r="E2345" s="90" t="s">
        <v>13683</v>
      </c>
      <c r="F2345" s="91">
        <v>46891</v>
      </c>
      <c r="G2345" s="92">
        <v>77698</v>
      </c>
      <c r="H2345" s="90" t="s">
        <v>7</v>
      </c>
      <c r="I23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45" s="90" t="s">
        <v>5339</v>
      </c>
    </row>
    <row r="2346" spans="1:11">
      <c r="A2346" s="90" t="s">
        <v>5338</v>
      </c>
      <c r="B2346" s="90" t="s">
        <v>5339</v>
      </c>
      <c r="C2346" s="90" t="s">
        <v>13</v>
      </c>
      <c r="D2346" s="90" t="str">
        <f>VLOOKUP(Tabela1[[#This Row],[Origem]],'Perguntas 1 a 24'!$J$28:$K$34,2,FALSE)</f>
        <v>Sudeste</v>
      </c>
      <c r="E2346" s="90" t="s">
        <v>13684</v>
      </c>
      <c r="F2346" s="91">
        <v>46892</v>
      </c>
      <c r="G2346" s="92">
        <v>62807</v>
      </c>
      <c r="H2346" s="90" t="s">
        <v>7</v>
      </c>
      <c r="I23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46" s="90" t="s">
        <v>9092</v>
      </c>
    </row>
    <row r="2347" spans="1:11">
      <c r="A2347" s="90" t="s">
        <v>9091</v>
      </c>
      <c r="B2347" s="90" t="s">
        <v>9092</v>
      </c>
      <c r="C2347" s="90" t="s">
        <v>13</v>
      </c>
      <c r="D2347" s="90" t="str">
        <f>VLOOKUP(Tabela1[[#This Row],[Origem]],'Perguntas 1 a 24'!$J$28:$K$34,2,FALSE)</f>
        <v>Sudeste</v>
      </c>
      <c r="E2347" s="90" t="s">
        <v>13685</v>
      </c>
      <c r="F2347" s="91">
        <v>46892</v>
      </c>
      <c r="G2347" s="92">
        <v>37806</v>
      </c>
      <c r="H2347" s="90" t="s">
        <v>14</v>
      </c>
      <c r="I23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47" s="90" t="s">
        <v>8063</v>
      </c>
    </row>
    <row r="2348" spans="1:11">
      <c r="A2348" s="90" t="s">
        <v>8062</v>
      </c>
      <c r="B2348" s="90" t="s">
        <v>8063</v>
      </c>
      <c r="C2348" s="90" t="s">
        <v>6</v>
      </c>
      <c r="D2348" s="90" t="str">
        <f>VLOOKUP(Tabela1[[#This Row],[Origem]],'Perguntas 1 a 24'!$J$28:$K$34,2,FALSE)</f>
        <v>Nordeste</v>
      </c>
      <c r="E2348" s="90" t="s">
        <v>13686</v>
      </c>
      <c r="F2348" s="91">
        <v>46893</v>
      </c>
      <c r="G2348" s="92">
        <v>22076</v>
      </c>
      <c r="H2348" s="90" t="s">
        <v>14</v>
      </c>
      <c r="I23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48" s="90" t="s">
        <v>3715</v>
      </c>
    </row>
    <row r="2349" spans="1:11">
      <c r="A2349" s="90" t="s">
        <v>3714</v>
      </c>
      <c r="B2349" s="90" t="s">
        <v>3715</v>
      </c>
      <c r="C2349" s="90" t="s">
        <v>6</v>
      </c>
      <c r="D2349" s="90" t="str">
        <f>VLOOKUP(Tabela1[[#This Row],[Origem]],'Perguntas 1 a 24'!$J$28:$K$34,2,FALSE)</f>
        <v>Nordeste</v>
      </c>
      <c r="E2349" s="90" t="s">
        <v>13687</v>
      </c>
      <c r="F2349" s="91">
        <v>46894</v>
      </c>
      <c r="G2349" s="92">
        <v>77933</v>
      </c>
      <c r="H2349" s="90" t="s">
        <v>7</v>
      </c>
      <c r="I23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49" s="90" t="s">
        <v>6333</v>
      </c>
    </row>
    <row r="2350" spans="1:11">
      <c r="A2350" s="90" t="s">
        <v>6332</v>
      </c>
      <c r="B2350" s="90" t="s">
        <v>6333</v>
      </c>
      <c r="C2350" s="90" t="s">
        <v>15</v>
      </c>
      <c r="D2350" s="90" t="str">
        <f>VLOOKUP(Tabela1[[#This Row],[Origem]],'Perguntas 1 a 24'!$J$28:$K$34,2,FALSE)</f>
        <v>Sudeste</v>
      </c>
      <c r="E2350" s="90" t="s">
        <v>13688</v>
      </c>
      <c r="F2350" s="91">
        <v>46895</v>
      </c>
      <c r="G2350" s="92">
        <v>41836</v>
      </c>
      <c r="H2350" s="90" t="s">
        <v>7</v>
      </c>
      <c r="I23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50" s="90" t="s">
        <v>5643</v>
      </c>
    </row>
    <row r="2351" spans="1:11">
      <c r="A2351" s="90" t="s">
        <v>5642</v>
      </c>
      <c r="B2351" s="90" t="s">
        <v>5643</v>
      </c>
      <c r="C2351" s="90" t="s">
        <v>10</v>
      </c>
      <c r="D2351" s="90" t="str">
        <f>VLOOKUP(Tabela1[[#This Row],[Origem]],'Perguntas 1 a 24'!$J$28:$K$34,2,FALSE)</f>
        <v>Centro-Oeste</v>
      </c>
      <c r="E2351" s="90" t="s">
        <v>13689</v>
      </c>
      <c r="F2351" s="91">
        <v>46898</v>
      </c>
      <c r="G2351" s="92">
        <v>85416</v>
      </c>
      <c r="H2351" s="90" t="s">
        <v>14</v>
      </c>
      <c r="I23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51" s="90" t="s">
        <v>8383</v>
      </c>
    </row>
    <row r="2352" spans="1:11">
      <c r="A2352" s="90" t="s">
        <v>8382</v>
      </c>
      <c r="B2352" s="90" t="s">
        <v>8383</v>
      </c>
      <c r="C2352" s="90" t="s">
        <v>16</v>
      </c>
      <c r="D2352" s="90" t="str">
        <f>VLOOKUP(Tabela1[[#This Row],[Origem]],'Perguntas 1 a 24'!$J$28:$K$34,2,FALSE)</f>
        <v>Sudeste</v>
      </c>
      <c r="E2352" s="90" t="s">
        <v>13690</v>
      </c>
      <c r="F2352" s="91">
        <v>46898</v>
      </c>
      <c r="G2352" s="92">
        <v>21315</v>
      </c>
      <c r="H2352" s="90" t="s">
        <v>11</v>
      </c>
      <c r="I23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52" s="90" t="s">
        <v>8457</v>
      </c>
    </row>
    <row r="2353" spans="1:11">
      <c r="A2353" s="90" t="s">
        <v>8456</v>
      </c>
      <c r="B2353" s="90" t="s">
        <v>8457</v>
      </c>
      <c r="C2353" s="90" t="s">
        <v>13</v>
      </c>
      <c r="D2353" s="90" t="str">
        <f>VLOOKUP(Tabela1[[#This Row],[Origem]],'Perguntas 1 a 24'!$J$28:$K$34,2,FALSE)</f>
        <v>Sudeste</v>
      </c>
      <c r="E2353" s="90" t="s">
        <v>13691</v>
      </c>
      <c r="F2353" s="91">
        <v>46899</v>
      </c>
      <c r="G2353" s="92">
        <v>95523</v>
      </c>
      <c r="H2353" s="90" t="s">
        <v>7</v>
      </c>
      <c r="I23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53" s="90" t="s">
        <v>9612</v>
      </c>
    </row>
    <row r="2354" spans="1:11">
      <c r="A2354" s="90" t="s">
        <v>9611</v>
      </c>
      <c r="B2354" s="90" t="s">
        <v>9612</v>
      </c>
      <c r="C2354" s="90" t="s">
        <v>10</v>
      </c>
      <c r="D2354" s="90" t="str">
        <f>VLOOKUP(Tabela1[[#This Row],[Origem]],'Perguntas 1 a 24'!$J$28:$K$34,2,FALSE)</f>
        <v>Centro-Oeste</v>
      </c>
      <c r="E2354" s="90" t="s">
        <v>13692</v>
      </c>
      <c r="F2354" s="91">
        <v>46899</v>
      </c>
      <c r="G2354" s="92">
        <v>46039</v>
      </c>
      <c r="H2354" s="90" t="s">
        <v>9</v>
      </c>
      <c r="I23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54" s="90" t="s">
        <v>6329</v>
      </c>
    </row>
    <row r="2355" spans="1:11">
      <c r="A2355" s="90" t="s">
        <v>6328</v>
      </c>
      <c r="B2355" s="90" t="s">
        <v>6329</v>
      </c>
      <c r="C2355" s="90" t="s">
        <v>10</v>
      </c>
      <c r="D2355" s="90" t="str">
        <f>VLOOKUP(Tabela1[[#This Row],[Origem]],'Perguntas 1 a 24'!$J$28:$K$34,2,FALSE)</f>
        <v>Centro-Oeste</v>
      </c>
      <c r="E2355" s="90" t="s">
        <v>13693</v>
      </c>
      <c r="F2355" s="91">
        <v>46902</v>
      </c>
      <c r="G2355" s="92">
        <v>92895</v>
      </c>
      <c r="H2355" s="90" t="s">
        <v>9</v>
      </c>
      <c r="I23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55" s="90" t="s">
        <v>8920</v>
      </c>
    </row>
    <row r="2356" spans="1:11">
      <c r="A2356" s="90" t="s">
        <v>8919</v>
      </c>
      <c r="B2356" s="90" t="s">
        <v>8920</v>
      </c>
      <c r="C2356" s="90" t="s">
        <v>13</v>
      </c>
      <c r="D2356" s="90" t="str">
        <f>VLOOKUP(Tabela1[[#This Row],[Origem]],'Perguntas 1 a 24'!$J$28:$K$34,2,FALSE)</f>
        <v>Sudeste</v>
      </c>
      <c r="E2356" s="90" t="s">
        <v>13694</v>
      </c>
      <c r="F2356" s="91">
        <v>46902</v>
      </c>
      <c r="G2356" s="92">
        <v>108843</v>
      </c>
      <c r="H2356" s="90" t="s">
        <v>9</v>
      </c>
      <c r="I23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56" s="90" t="s">
        <v>5071</v>
      </c>
    </row>
    <row r="2357" spans="1:11">
      <c r="A2357" s="90" t="s">
        <v>5070</v>
      </c>
      <c r="B2357" s="90" t="s">
        <v>5071</v>
      </c>
      <c r="C2357" s="90" t="s">
        <v>15</v>
      </c>
      <c r="D2357" s="90" t="str">
        <f>VLOOKUP(Tabela1[[#This Row],[Origem]],'Perguntas 1 a 24'!$J$28:$K$34,2,FALSE)</f>
        <v>Sudeste</v>
      </c>
      <c r="E2357" s="90" t="s">
        <v>13695</v>
      </c>
      <c r="F2357" s="91">
        <v>46903</v>
      </c>
      <c r="G2357" s="92">
        <v>105157</v>
      </c>
      <c r="H2357" s="90" t="s">
        <v>14</v>
      </c>
      <c r="I23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57" s="90" t="s">
        <v>7707</v>
      </c>
    </row>
    <row r="2358" spans="1:11">
      <c r="A2358" s="90" t="s">
        <v>7706</v>
      </c>
      <c r="B2358" s="90" t="s">
        <v>7707</v>
      </c>
      <c r="C2358" s="90" t="s">
        <v>10</v>
      </c>
      <c r="D2358" s="90" t="str">
        <f>VLOOKUP(Tabela1[[#This Row],[Origem]],'Perguntas 1 a 24'!$J$28:$K$34,2,FALSE)</f>
        <v>Centro-Oeste</v>
      </c>
      <c r="E2358" s="90" t="s">
        <v>13696</v>
      </c>
      <c r="F2358" s="91">
        <v>46903</v>
      </c>
      <c r="G2358" s="92">
        <v>36049</v>
      </c>
      <c r="H2358" s="90" t="s">
        <v>14</v>
      </c>
      <c r="I23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58" s="90" t="s">
        <v>8323</v>
      </c>
    </row>
    <row r="2359" spans="1:11">
      <c r="A2359" s="90" t="s">
        <v>8322</v>
      </c>
      <c r="B2359" s="90" t="s">
        <v>8323</v>
      </c>
      <c r="C2359" s="90" t="s">
        <v>12</v>
      </c>
      <c r="D2359" s="90" t="str">
        <f>VLOOKUP(Tabela1[[#This Row],[Origem]],'Perguntas 1 a 24'!$J$28:$K$34,2,FALSE)</f>
        <v>Sudeste</v>
      </c>
      <c r="E2359" s="90" t="s">
        <v>13697</v>
      </c>
      <c r="F2359" s="91">
        <v>46903</v>
      </c>
      <c r="G2359" s="92">
        <v>89386</v>
      </c>
      <c r="H2359" s="90" t="s">
        <v>14</v>
      </c>
      <c r="I23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59" s="90" t="s">
        <v>9342</v>
      </c>
    </row>
    <row r="2360" spans="1:11">
      <c r="A2360" s="90" t="s">
        <v>9341</v>
      </c>
      <c r="B2360" s="90" t="s">
        <v>9342</v>
      </c>
      <c r="C2360" s="90" t="s">
        <v>10</v>
      </c>
      <c r="D2360" s="90" t="str">
        <f>VLOOKUP(Tabela1[[#This Row],[Origem]],'Perguntas 1 a 24'!$J$28:$K$34,2,FALSE)</f>
        <v>Centro-Oeste</v>
      </c>
      <c r="E2360" s="90" t="s">
        <v>13698</v>
      </c>
      <c r="F2360" s="91">
        <v>46903</v>
      </c>
      <c r="G2360" s="92">
        <v>117775</v>
      </c>
      <c r="H2360" s="90" t="s">
        <v>7</v>
      </c>
      <c r="I23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60" s="90" t="s">
        <v>6057</v>
      </c>
    </row>
    <row r="2361" spans="1:11">
      <c r="A2361" s="90" t="s">
        <v>6056</v>
      </c>
      <c r="B2361" s="90" t="s">
        <v>6057</v>
      </c>
      <c r="C2361" s="90" t="s">
        <v>15</v>
      </c>
      <c r="D2361" s="90" t="str">
        <f>VLOOKUP(Tabela1[[#This Row],[Origem]],'Perguntas 1 a 24'!$J$28:$K$34,2,FALSE)</f>
        <v>Sudeste</v>
      </c>
      <c r="E2361" s="90" t="s">
        <v>13699</v>
      </c>
      <c r="F2361" s="91">
        <v>46904</v>
      </c>
      <c r="G2361" s="92">
        <v>88673</v>
      </c>
      <c r="H2361" s="90" t="s">
        <v>11</v>
      </c>
      <c r="I23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61" s="90" t="s">
        <v>9736</v>
      </c>
    </row>
    <row r="2362" spans="1:11">
      <c r="A2362" s="90" t="s">
        <v>9735</v>
      </c>
      <c r="B2362" s="90" t="s">
        <v>9736</v>
      </c>
      <c r="C2362" s="90" t="s">
        <v>15</v>
      </c>
      <c r="D2362" s="90" t="str">
        <f>VLOOKUP(Tabela1[[#This Row],[Origem]],'Perguntas 1 a 24'!$J$28:$K$34,2,FALSE)</f>
        <v>Sudeste</v>
      </c>
      <c r="E2362" s="90" t="s">
        <v>13700</v>
      </c>
      <c r="F2362" s="91">
        <v>46904</v>
      </c>
      <c r="G2362" s="92">
        <v>96218</v>
      </c>
      <c r="H2362" s="90" t="s">
        <v>11</v>
      </c>
      <c r="I23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62" s="90" t="s">
        <v>8301</v>
      </c>
    </row>
    <row r="2363" spans="1:11">
      <c r="A2363" s="90" t="s">
        <v>8300</v>
      </c>
      <c r="B2363" s="90" t="s">
        <v>8301</v>
      </c>
      <c r="C2363" s="90" t="s">
        <v>15</v>
      </c>
      <c r="D2363" s="90" t="str">
        <f>VLOOKUP(Tabela1[[#This Row],[Origem]],'Perguntas 1 a 24'!$J$28:$K$34,2,FALSE)</f>
        <v>Sudeste</v>
      </c>
      <c r="E2363" s="90" t="s">
        <v>13701</v>
      </c>
      <c r="F2363" s="91">
        <v>46905</v>
      </c>
      <c r="G2363" s="92">
        <v>31592</v>
      </c>
      <c r="H2363" s="90" t="s">
        <v>9</v>
      </c>
      <c r="I23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63" s="90" t="s">
        <v>9328</v>
      </c>
    </row>
    <row r="2364" spans="1:11">
      <c r="A2364" s="90" t="s">
        <v>9327</v>
      </c>
      <c r="B2364" s="90" t="s">
        <v>9328</v>
      </c>
      <c r="C2364" s="90" t="s">
        <v>13</v>
      </c>
      <c r="D2364" s="90" t="str">
        <f>VLOOKUP(Tabela1[[#This Row],[Origem]],'Perguntas 1 a 24'!$J$28:$K$34,2,FALSE)</f>
        <v>Sudeste</v>
      </c>
      <c r="E2364" s="90" t="s">
        <v>13702</v>
      </c>
      <c r="F2364" s="91">
        <v>46906</v>
      </c>
      <c r="G2364" s="92">
        <v>115820</v>
      </c>
      <c r="H2364" s="90" t="s">
        <v>14</v>
      </c>
      <c r="I23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64" s="90" t="s">
        <v>4557</v>
      </c>
    </row>
    <row r="2365" spans="1:11">
      <c r="A2365" s="90" t="s">
        <v>4556</v>
      </c>
      <c r="B2365" s="90" t="s">
        <v>4557</v>
      </c>
      <c r="C2365" s="90" t="s">
        <v>13</v>
      </c>
      <c r="D2365" s="90" t="str">
        <f>VLOOKUP(Tabela1[[#This Row],[Origem]],'Perguntas 1 a 24'!$J$28:$K$34,2,FALSE)</f>
        <v>Sudeste</v>
      </c>
      <c r="E2365" s="90" t="s">
        <v>13703</v>
      </c>
      <c r="F2365" s="91">
        <v>46907</v>
      </c>
      <c r="G2365" s="92">
        <v>48387</v>
      </c>
      <c r="H2365" s="90" t="s">
        <v>11</v>
      </c>
      <c r="I23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65" s="90" t="s">
        <v>6191</v>
      </c>
    </row>
    <row r="2366" spans="1:11">
      <c r="A2366" s="90" t="s">
        <v>6190</v>
      </c>
      <c r="B2366" s="90" t="s">
        <v>6191</v>
      </c>
      <c r="C2366" s="90" t="s">
        <v>6</v>
      </c>
      <c r="D2366" s="90" t="str">
        <f>VLOOKUP(Tabela1[[#This Row],[Origem]],'Perguntas 1 a 24'!$J$28:$K$34,2,FALSE)</f>
        <v>Nordeste</v>
      </c>
      <c r="E2366" s="90" t="s">
        <v>13704</v>
      </c>
      <c r="F2366" s="91">
        <v>46907</v>
      </c>
      <c r="G2366" s="92">
        <v>43875</v>
      </c>
      <c r="H2366" s="90" t="s">
        <v>11</v>
      </c>
      <c r="I23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66" s="90" t="s">
        <v>7615</v>
      </c>
    </row>
    <row r="2367" spans="1:11">
      <c r="A2367" s="90" t="s">
        <v>7614</v>
      </c>
      <c r="B2367" s="90" t="s">
        <v>7615</v>
      </c>
      <c r="C2367" s="90" t="s">
        <v>16</v>
      </c>
      <c r="D2367" s="90" t="str">
        <f>VLOOKUP(Tabela1[[#This Row],[Origem]],'Perguntas 1 a 24'!$J$28:$K$34,2,FALSE)</f>
        <v>Sudeste</v>
      </c>
      <c r="E2367" s="90" t="s">
        <v>13705</v>
      </c>
      <c r="F2367" s="91">
        <v>46907</v>
      </c>
      <c r="G2367" s="92">
        <v>65968</v>
      </c>
      <c r="H2367" s="90" t="s">
        <v>14</v>
      </c>
      <c r="I23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67" s="90" t="s">
        <v>7367</v>
      </c>
    </row>
    <row r="2368" spans="1:11">
      <c r="A2368" s="90" t="s">
        <v>7366</v>
      </c>
      <c r="B2368" s="90" t="s">
        <v>7367</v>
      </c>
      <c r="C2368" s="90" t="s">
        <v>16</v>
      </c>
      <c r="D2368" s="90" t="str">
        <f>VLOOKUP(Tabela1[[#This Row],[Origem]],'Perguntas 1 a 24'!$J$28:$K$34,2,FALSE)</f>
        <v>Sudeste</v>
      </c>
      <c r="E2368" s="90" t="s">
        <v>13706</v>
      </c>
      <c r="F2368" s="91">
        <v>46908</v>
      </c>
      <c r="G2368" s="92">
        <v>99447</v>
      </c>
      <c r="H2368" s="90" t="s">
        <v>14</v>
      </c>
      <c r="I23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68" s="90" t="s">
        <v>5861</v>
      </c>
    </row>
    <row r="2369" spans="1:11">
      <c r="A2369" s="90" t="s">
        <v>5860</v>
      </c>
      <c r="B2369" s="90" t="s">
        <v>5861</v>
      </c>
      <c r="C2369" s="90" t="s">
        <v>10</v>
      </c>
      <c r="D2369" s="90" t="str">
        <f>VLOOKUP(Tabela1[[#This Row],[Origem]],'Perguntas 1 a 24'!$J$28:$K$34,2,FALSE)</f>
        <v>Centro-Oeste</v>
      </c>
      <c r="E2369" s="90" t="s">
        <v>13707</v>
      </c>
      <c r="F2369" s="91">
        <v>46909</v>
      </c>
      <c r="G2369" s="92">
        <v>51016</v>
      </c>
      <c r="H2369" s="90" t="s">
        <v>14</v>
      </c>
      <c r="I23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69" s="90" t="s">
        <v>9418</v>
      </c>
    </row>
    <row r="2370" spans="1:11">
      <c r="A2370" s="90" t="s">
        <v>9417</v>
      </c>
      <c r="B2370" s="90" t="s">
        <v>9418</v>
      </c>
      <c r="C2370" s="90" t="s">
        <v>6</v>
      </c>
      <c r="D2370" s="90" t="str">
        <f>VLOOKUP(Tabela1[[#This Row],[Origem]],'Perguntas 1 a 24'!$J$28:$K$34,2,FALSE)</f>
        <v>Nordeste</v>
      </c>
      <c r="E2370" s="90" t="s">
        <v>13708</v>
      </c>
      <c r="F2370" s="91">
        <v>46909</v>
      </c>
      <c r="G2370" s="92">
        <v>70644</v>
      </c>
      <c r="H2370" s="90" t="s">
        <v>14</v>
      </c>
      <c r="I23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0" s="90" t="s">
        <v>9926</v>
      </c>
    </row>
    <row r="2371" spans="1:11">
      <c r="A2371" s="90" t="s">
        <v>9925</v>
      </c>
      <c r="B2371" s="90" t="s">
        <v>9926</v>
      </c>
      <c r="C2371" s="90" t="s">
        <v>12</v>
      </c>
      <c r="D2371" s="90" t="str">
        <f>VLOOKUP(Tabela1[[#This Row],[Origem]],'Perguntas 1 a 24'!$J$28:$K$34,2,FALSE)</f>
        <v>Sudeste</v>
      </c>
      <c r="E2371" s="90" t="s">
        <v>13709</v>
      </c>
      <c r="F2371" s="91">
        <v>46909</v>
      </c>
      <c r="G2371" s="92">
        <v>46697</v>
      </c>
      <c r="H2371" s="90" t="s">
        <v>9</v>
      </c>
      <c r="I23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71" s="90" t="s">
        <v>7309</v>
      </c>
    </row>
    <row r="2372" spans="1:11">
      <c r="A2372" s="90" t="s">
        <v>7308</v>
      </c>
      <c r="B2372" s="90" t="s">
        <v>7309</v>
      </c>
      <c r="C2372" s="90" t="s">
        <v>15</v>
      </c>
      <c r="D2372" s="90" t="str">
        <f>VLOOKUP(Tabela1[[#This Row],[Origem]],'Perguntas 1 a 24'!$J$28:$K$34,2,FALSE)</f>
        <v>Sudeste</v>
      </c>
      <c r="E2372" s="90" t="s">
        <v>13710</v>
      </c>
      <c r="F2372" s="91">
        <v>46910</v>
      </c>
      <c r="G2372" s="92">
        <v>74925</v>
      </c>
      <c r="H2372" s="90" t="s">
        <v>14</v>
      </c>
      <c r="I23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2" s="90" t="s">
        <v>8083</v>
      </c>
    </row>
    <row r="2373" spans="1:11">
      <c r="A2373" s="90" t="s">
        <v>8082</v>
      </c>
      <c r="B2373" s="90" t="s">
        <v>8083</v>
      </c>
      <c r="C2373" s="90" t="s">
        <v>15</v>
      </c>
      <c r="D2373" s="90" t="str">
        <f>VLOOKUP(Tabela1[[#This Row],[Origem]],'Perguntas 1 a 24'!$J$28:$K$34,2,FALSE)</f>
        <v>Sudeste</v>
      </c>
      <c r="E2373" s="90" t="s">
        <v>13711</v>
      </c>
      <c r="F2373" s="91">
        <v>46911</v>
      </c>
      <c r="G2373" s="92">
        <v>77082</v>
      </c>
      <c r="H2373" s="90" t="s">
        <v>9</v>
      </c>
      <c r="I23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3" s="90" t="s">
        <v>9652</v>
      </c>
    </row>
    <row r="2374" spans="1:11">
      <c r="A2374" s="90" t="s">
        <v>9651</v>
      </c>
      <c r="B2374" s="90" t="s">
        <v>9652</v>
      </c>
      <c r="C2374" s="90" t="s">
        <v>15</v>
      </c>
      <c r="D2374" s="90" t="str">
        <f>VLOOKUP(Tabela1[[#This Row],[Origem]],'Perguntas 1 a 24'!$J$28:$K$34,2,FALSE)</f>
        <v>Sudeste</v>
      </c>
      <c r="E2374" s="90" t="s">
        <v>13712</v>
      </c>
      <c r="F2374" s="91">
        <v>46911</v>
      </c>
      <c r="G2374" s="92">
        <v>104135</v>
      </c>
      <c r="H2374" s="90" t="s">
        <v>11</v>
      </c>
      <c r="I23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4" s="90" t="s">
        <v>5503</v>
      </c>
    </row>
    <row r="2375" spans="1:11">
      <c r="A2375" s="90" t="s">
        <v>5502</v>
      </c>
      <c r="B2375" s="90" t="s">
        <v>5503</v>
      </c>
      <c r="C2375" s="90" t="s">
        <v>12</v>
      </c>
      <c r="D2375" s="90" t="str">
        <f>VLOOKUP(Tabela1[[#This Row],[Origem]],'Perguntas 1 a 24'!$J$28:$K$34,2,FALSE)</f>
        <v>Sudeste</v>
      </c>
      <c r="E2375" s="90" t="s">
        <v>13713</v>
      </c>
      <c r="F2375" s="91">
        <v>46912</v>
      </c>
      <c r="G2375" s="92">
        <v>59323</v>
      </c>
      <c r="H2375" s="90" t="s">
        <v>9</v>
      </c>
      <c r="I23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5" s="90" t="s">
        <v>7407</v>
      </c>
    </row>
    <row r="2376" spans="1:11">
      <c r="A2376" s="90" t="s">
        <v>7406</v>
      </c>
      <c r="B2376" s="90" t="s">
        <v>7407</v>
      </c>
      <c r="C2376" s="90" t="s">
        <v>10</v>
      </c>
      <c r="D2376" s="90" t="str">
        <f>VLOOKUP(Tabela1[[#This Row],[Origem]],'Perguntas 1 a 24'!$J$28:$K$34,2,FALSE)</f>
        <v>Centro-Oeste</v>
      </c>
      <c r="E2376" s="90" t="s">
        <v>13714</v>
      </c>
      <c r="F2376" s="91">
        <v>46912</v>
      </c>
      <c r="G2376" s="92">
        <v>81121</v>
      </c>
      <c r="H2376" s="90" t="s">
        <v>14</v>
      </c>
      <c r="I23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6" s="90" t="s">
        <v>9744</v>
      </c>
    </row>
    <row r="2377" spans="1:11">
      <c r="A2377" s="90" t="s">
        <v>9743</v>
      </c>
      <c r="B2377" s="90" t="s">
        <v>9744</v>
      </c>
      <c r="C2377" s="90" t="s">
        <v>6</v>
      </c>
      <c r="D2377" s="90" t="str">
        <f>VLOOKUP(Tabela1[[#This Row],[Origem]],'Perguntas 1 a 24'!$J$28:$K$34,2,FALSE)</f>
        <v>Nordeste</v>
      </c>
      <c r="E2377" s="90" t="s">
        <v>13715</v>
      </c>
      <c r="F2377" s="91">
        <v>46912</v>
      </c>
      <c r="G2377" s="92">
        <v>58883</v>
      </c>
      <c r="H2377" s="90" t="s">
        <v>14</v>
      </c>
      <c r="I23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7" s="90" t="s">
        <v>5491</v>
      </c>
    </row>
    <row r="2378" spans="1:11">
      <c r="A2378" s="90" t="s">
        <v>5490</v>
      </c>
      <c r="B2378" s="90" t="s">
        <v>5491</v>
      </c>
      <c r="C2378" s="90" t="s">
        <v>12</v>
      </c>
      <c r="D2378" s="90" t="str">
        <f>VLOOKUP(Tabela1[[#This Row],[Origem]],'Perguntas 1 a 24'!$J$28:$K$34,2,FALSE)</f>
        <v>Sudeste</v>
      </c>
      <c r="E2378" s="90" t="s">
        <v>13716</v>
      </c>
      <c r="F2378" s="91">
        <v>46913</v>
      </c>
      <c r="G2378" s="92">
        <v>54582</v>
      </c>
      <c r="H2378" s="90" t="s">
        <v>9</v>
      </c>
      <c r="I23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8" s="90" t="s">
        <v>5179</v>
      </c>
    </row>
    <row r="2379" spans="1:11">
      <c r="A2379" s="90" t="s">
        <v>5178</v>
      </c>
      <c r="B2379" s="90" t="s">
        <v>5179</v>
      </c>
      <c r="C2379" s="90" t="s">
        <v>16</v>
      </c>
      <c r="D2379" s="90" t="str">
        <f>VLOOKUP(Tabela1[[#This Row],[Origem]],'Perguntas 1 a 24'!$J$28:$K$34,2,FALSE)</f>
        <v>Sudeste</v>
      </c>
      <c r="E2379" s="90" t="s">
        <v>13717</v>
      </c>
      <c r="F2379" s="91">
        <v>46914</v>
      </c>
      <c r="G2379" s="92">
        <v>85014</v>
      </c>
      <c r="H2379" s="90" t="s">
        <v>11</v>
      </c>
      <c r="I23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79" s="90" t="s">
        <v>5689</v>
      </c>
    </row>
    <row r="2380" spans="1:11">
      <c r="A2380" s="90" t="s">
        <v>5688</v>
      </c>
      <c r="B2380" s="90" t="s">
        <v>5689</v>
      </c>
      <c r="C2380" s="90" t="s">
        <v>13</v>
      </c>
      <c r="D2380" s="90" t="str">
        <f>VLOOKUP(Tabela1[[#This Row],[Origem]],'Perguntas 1 a 24'!$J$28:$K$34,2,FALSE)</f>
        <v>Sudeste</v>
      </c>
      <c r="E2380" s="90" t="s">
        <v>13718</v>
      </c>
      <c r="F2380" s="91">
        <v>46914</v>
      </c>
      <c r="G2380" s="92">
        <v>44371</v>
      </c>
      <c r="H2380" s="90" t="s">
        <v>11</v>
      </c>
      <c r="I23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80" s="90" t="s">
        <v>4326</v>
      </c>
    </row>
    <row r="2381" spans="1:11">
      <c r="A2381" s="90" t="s">
        <v>4325</v>
      </c>
      <c r="B2381" s="90" t="s">
        <v>4326</v>
      </c>
      <c r="C2381" s="90" t="s">
        <v>8</v>
      </c>
      <c r="D2381" s="90" t="str">
        <f>VLOOKUP(Tabela1[[#This Row],[Origem]],'Perguntas 1 a 24'!$J$28:$K$34,2,FALSE)</f>
        <v>Nordeste</v>
      </c>
      <c r="E2381" s="90" t="s">
        <v>13719</v>
      </c>
      <c r="F2381" s="91">
        <v>46916</v>
      </c>
      <c r="G2381" s="92">
        <v>73867</v>
      </c>
      <c r="H2381" s="90" t="s">
        <v>14</v>
      </c>
      <c r="I23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81" s="90" t="s">
        <v>8848</v>
      </c>
    </row>
    <row r="2382" spans="1:11">
      <c r="A2382" s="90" t="s">
        <v>8847</v>
      </c>
      <c r="B2382" s="90" t="s">
        <v>8848</v>
      </c>
      <c r="C2382" s="90" t="s">
        <v>15</v>
      </c>
      <c r="D2382" s="90" t="str">
        <f>VLOOKUP(Tabela1[[#This Row],[Origem]],'Perguntas 1 a 24'!$J$28:$K$34,2,FALSE)</f>
        <v>Sudeste</v>
      </c>
      <c r="E2382" s="90" t="s">
        <v>13720</v>
      </c>
      <c r="F2382" s="91">
        <v>46916</v>
      </c>
      <c r="G2382" s="92">
        <v>109133</v>
      </c>
      <c r="H2382" s="90" t="s">
        <v>11</v>
      </c>
      <c r="I23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82" s="90" t="s">
        <v>8580</v>
      </c>
    </row>
    <row r="2383" spans="1:11">
      <c r="A2383" s="90" t="s">
        <v>8579</v>
      </c>
      <c r="B2383" s="90" t="s">
        <v>8580</v>
      </c>
      <c r="C2383" s="90" t="s">
        <v>8</v>
      </c>
      <c r="D2383" s="90" t="str">
        <f>VLOOKUP(Tabela1[[#This Row],[Origem]],'Perguntas 1 a 24'!$J$28:$K$34,2,FALSE)</f>
        <v>Nordeste</v>
      </c>
      <c r="E2383" s="90" t="s">
        <v>13721</v>
      </c>
      <c r="F2383" s="91">
        <v>46918</v>
      </c>
      <c r="G2383" s="92">
        <v>22970</v>
      </c>
      <c r="H2383" s="90" t="s">
        <v>9</v>
      </c>
      <c r="I23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83" s="90" t="s">
        <v>8646</v>
      </c>
    </row>
    <row r="2384" spans="1:11">
      <c r="A2384" s="90" t="s">
        <v>8645</v>
      </c>
      <c r="B2384" s="90" t="s">
        <v>8646</v>
      </c>
      <c r="C2384" s="90" t="s">
        <v>8</v>
      </c>
      <c r="D2384" s="90" t="str">
        <f>VLOOKUP(Tabela1[[#This Row],[Origem]],'Perguntas 1 a 24'!$J$28:$K$34,2,FALSE)</f>
        <v>Nordeste</v>
      </c>
      <c r="E2384" s="90" t="s">
        <v>13722</v>
      </c>
      <c r="F2384" s="91">
        <v>46918</v>
      </c>
      <c r="G2384" s="92">
        <v>60176</v>
      </c>
      <c r="H2384" s="90" t="s">
        <v>11</v>
      </c>
      <c r="I23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84" s="90" t="s">
        <v>10518</v>
      </c>
    </row>
    <row r="2385" spans="1:11">
      <c r="A2385" s="90" t="s">
        <v>10517</v>
      </c>
      <c r="B2385" s="90" t="s">
        <v>10518</v>
      </c>
      <c r="C2385" s="90" t="s">
        <v>15</v>
      </c>
      <c r="D2385" s="90" t="str">
        <f>VLOOKUP(Tabela1[[#This Row],[Origem]],'Perguntas 1 a 24'!$J$28:$K$34,2,FALSE)</f>
        <v>Sudeste</v>
      </c>
      <c r="E2385" s="90" t="s">
        <v>13723</v>
      </c>
      <c r="F2385" s="91">
        <v>46918</v>
      </c>
      <c r="G2385" s="92">
        <v>43766</v>
      </c>
      <c r="H2385" s="90" t="s">
        <v>9</v>
      </c>
      <c r="I23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85" s="90" t="s">
        <v>4857</v>
      </c>
    </row>
    <row r="2386" spans="1:11">
      <c r="A2386" s="90" t="s">
        <v>4856</v>
      </c>
      <c r="B2386" s="90" t="s">
        <v>4857</v>
      </c>
      <c r="C2386" s="90" t="s">
        <v>8</v>
      </c>
      <c r="D2386" s="90" t="str">
        <f>VLOOKUP(Tabela1[[#This Row],[Origem]],'Perguntas 1 a 24'!$J$28:$K$34,2,FALSE)</f>
        <v>Nordeste</v>
      </c>
      <c r="E2386" s="90" t="s">
        <v>13724</v>
      </c>
      <c r="F2386" s="91">
        <v>46919</v>
      </c>
      <c r="G2386" s="92">
        <v>93827</v>
      </c>
      <c r="H2386" s="90" t="s">
        <v>9</v>
      </c>
      <c r="I23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86" s="90" t="s">
        <v>7533</v>
      </c>
    </row>
    <row r="2387" spans="1:11">
      <c r="A2387" s="90" t="s">
        <v>7532</v>
      </c>
      <c r="B2387" s="90" t="s">
        <v>7533</v>
      </c>
      <c r="C2387" s="90" t="s">
        <v>8</v>
      </c>
      <c r="D2387" s="90" t="str">
        <f>VLOOKUP(Tabela1[[#This Row],[Origem]],'Perguntas 1 a 24'!$J$28:$K$34,2,FALSE)</f>
        <v>Nordeste</v>
      </c>
      <c r="E2387" s="90" t="s">
        <v>13725</v>
      </c>
      <c r="F2387" s="91">
        <v>46919</v>
      </c>
      <c r="G2387" s="92">
        <v>39569</v>
      </c>
      <c r="H2387" s="90" t="s">
        <v>9</v>
      </c>
      <c r="I23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87" s="90" t="s">
        <v>6855</v>
      </c>
    </row>
    <row r="2388" spans="1:11">
      <c r="A2388" s="90" t="s">
        <v>6854</v>
      </c>
      <c r="B2388" s="90" t="s">
        <v>6855</v>
      </c>
      <c r="C2388" s="90" t="s">
        <v>8</v>
      </c>
      <c r="D2388" s="90" t="str">
        <f>VLOOKUP(Tabela1[[#This Row],[Origem]],'Perguntas 1 a 24'!$J$28:$K$34,2,FALSE)</f>
        <v>Nordeste</v>
      </c>
      <c r="E2388" s="90" t="s">
        <v>13726</v>
      </c>
      <c r="F2388" s="91">
        <v>46920</v>
      </c>
      <c r="G2388" s="92">
        <v>29994</v>
      </c>
      <c r="H2388" s="90" t="s">
        <v>14</v>
      </c>
      <c r="I23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88" s="90" t="s">
        <v>8369</v>
      </c>
    </row>
    <row r="2389" spans="1:11">
      <c r="A2389" s="90" t="s">
        <v>8368</v>
      </c>
      <c r="B2389" s="90" t="s">
        <v>8369</v>
      </c>
      <c r="C2389" s="90" t="s">
        <v>16</v>
      </c>
      <c r="D2389" s="90" t="str">
        <f>VLOOKUP(Tabela1[[#This Row],[Origem]],'Perguntas 1 a 24'!$J$28:$K$34,2,FALSE)</f>
        <v>Sudeste</v>
      </c>
      <c r="E2389" s="90" t="s">
        <v>13727</v>
      </c>
      <c r="F2389" s="91">
        <v>46922</v>
      </c>
      <c r="G2389" s="92">
        <v>52095</v>
      </c>
      <c r="H2389" s="90" t="s">
        <v>9</v>
      </c>
      <c r="I23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89" s="90" t="s">
        <v>8934</v>
      </c>
    </row>
    <row r="2390" spans="1:11">
      <c r="A2390" s="90" t="s">
        <v>8933</v>
      </c>
      <c r="B2390" s="90" t="s">
        <v>8934</v>
      </c>
      <c r="C2390" s="90" t="s">
        <v>15</v>
      </c>
      <c r="D2390" s="90" t="str">
        <f>VLOOKUP(Tabela1[[#This Row],[Origem]],'Perguntas 1 a 24'!$J$28:$K$34,2,FALSE)</f>
        <v>Sudeste</v>
      </c>
      <c r="E2390" s="90" t="s">
        <v>13728</v>
      </c>
      <c r="F2390" s="91">
        <v>46922</v>
      </c>
      <c r="G2390" s="92">
        <v>107469</v>
      </c>
      <c r="H2390" s="90" t="s">
        <v>14</v>
      </c>
      <c r="I23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90" s="90" t="s">
        <v>4298</v>
      </c>
    </row>
    <row r="2391" spans="1:11">
      <c r="A2391" s="90" t="s">
        <v>4297</v>
      </c>
      <c r="B2391" s="90" t="s">
        <v>4298</v>
      </c>
      <c r="C2391" s="90" t="s">
        <v>16</v>
      </c>
      <c r="D2391" s="90" t="str">
        <f>VLOOKUP(Tabela1[[#This Row],[Origem]],'Perguntas 1 a 24'!$J$28:$K$34,2,FALSE)</f>
        <v>Sudeste</v>
      </c>
      <c r="E2391" s="90" t="s">
        <v>13729</v>
      </c>
      <c r="F2391" s="91">
        <v>46923</v>
      </c>
      <c r="G2391" s="92">
        <v>84122</v>
      </c>
      <c r="H2391" s="90" t="s">
        <v>7</v>
      </c>
      <c r="I23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91" s="90" t="s">
        <v>6577</v>
      </c>
    </row>
    <row r="2392" spans="1:11">
      <c r="A2392" s="90" t="s">
        <v>6576</v>
      </c>
      <c r="B2392" s="90" t="s">
        <v>6577</v>
      </c>
      <c r="C2392" s="90" t="s">
        <v>10</v>
      </c>
      <c r="D2392" s="90" t="str">
        <f>VLOOKUP(Tabela1[[#This Row],[Origem]],'Perguntas 1 a 24'!$J$28:$K$34,2,FALSE)</f>
        <v>Centro-Oeste</v>
      </c>
      <c r="E2392" s="90" t="s">
        <v>13730</v>
      </c>
      <c r="F2392" s="91">
        <v>46923</v>
      </c>
      <c r="G2392" s="92">
        <v>101257</v>
      </c>
      <c r="H2392" s="90" t="s">
        <v>9</v>
      </c>
      <c r="I23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92" s="90" t="s">
        <v>8261</v>
      </c>
    </row>
    <row r="2393" spans="1:11">
      <c r="A2393" s="90" t="s">
        <v>8260</v>
      </c>
      <c r="B2393" s="90" t="s">
        <v>8261</v>
      </c>
      <c r="C2393" s="90" t="s">
        <v>10</v>
      </c>
      <c r="D2393" s="90" t="str">
        <f>VLOOKUP(Tabela1[[#This Row],[Origem]],'Perguntas 1 a 24'!$J$28:$K$34,2,FALSE)</f>
        <v>Centro-Oeste</v>
      </c>
      <c r="E2393" s="90" t="s">
        <v>13731</v>
      </c>
      <c r="F2393" s="91">
        <v>46923</v>
      </c>
      <c r="G2393" s="92">
        <v>93508</v>
      </c>
      <c r="H2393" s="90" t="s">
        <v>9</v>
      </c>
      <c r="I23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93" s="90" t="s">
        <v>5275</v>
      </c>
    </row>
    <row r="2394" spans="1:11">
      <c r="A2394" s="90" t="s">
        <v>5274</v>
      </c>
      <c r="B2394" s="90" t="s">
        <v>5275</v>
      </c>
      <c r="C2394" s="90" t="s">
        <v>12</v>
      </c>
      <c r="D2394" s="90" t="str">
        <f>VLOOKUP(Tabela1[[#This Row],[Origem]],'Perguntas 1 a 24'!$J$28:$K$34,2,FALSE)</f>
        <v>Sudeste</v>
      </c>
      <c r="E2394" s="90" t="s">
        <v>13732</v>
      </c>
      <c r="F2394" s="91">
        <v>46924</v>
      </c>
      <c r="G2394" s="92">
        <v>43295</v>
      </c>
      <c r="H2394" s="90" t="s">
        <v>9</v>
      </c>
      <c r="I23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94" s="90" t="s">
        <v>9716</v>
      </c>
    </row>
    <row r="2395" spans="1:11">
      <c r="A2395" s="90" t="s">
        <v>9715</v>
      </c>
      <c r="B2395" s="90" t="s">
        <v>9716</v>
      </c>
      <c r="C2395" s="90" t="s">
        <v>6</v>
      </c>
      <c r="D2395" s="90" t="str">
        <f>VLOOKUP(Tabela1[[#This Row],[Origem]],'Perguntas 1 a 24'!$J$28:$K$34,2,FALSE)</f>
        <v>Nordeste</v>
      </c>
      <c r="E2395" s="90" t="s">
        <v>13733</v>
      </c>
      <c r="F2395" s="91">
        <v>46924</v>
      </c>
      <c r="G2395" s="92">
        <v>36907</v>
      </c>
      <c r="H2395" s="90" t="s">
        <v>7</v>
      </c>
      <c r="I23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95" s="90" t="s">
        <v>10184</v>
      </c>
    </row>
    <row r="2396" spans="1:11">
      <c r="A2396" s="90" t="s">
        <v>10183</v>
      </c>
      <c r="B2396" s="90" t="s">
        <v>10184</v>
      </c>
      <c r="C2396" s="90" t="s">
        <v>10</v>
      </c>
      <c r="D2396" s="90" t="str">
        <f>VLOOKUP(Tabela1[[#This Row],[Origem]],'Perguntas 1 a 24'!$J$28:$K$34,2,FALSE)</f>
        <v>Centro-Oeste</v>
      </c>
      <c r="E2396" s="90" t="s">
        <v>13734</v>
      </c>
      <c r="F2396" s="91">
        <v>46924</v>
      </c>
      <c r="G2396" s="92">
        <v>34958</v>
      </c>
      <c r="H2396" s="90" t="s">
        <v>11</v>
      </c>
      <c r="I23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96" s="90" t="s">
        <v>10372</v>
      </c>
    </row>
    <row r="2397" spans="1:11">
      <c r="A2397" s="90" t="s">
        <v>10371</v>
      </c>
      <c r="B2397" s="90" t="s">
        <v>10372</v>
      </c>
      <c r="C2397" s="90" t="s">
        <v>13</v>
      </c>
      <c r="D2397" s="90" t="str">
        <f>VLOOKUP(Tabela1[[#This Row],[Origem]],'Perguntas 1 a 24'!$J$28:$K$34,2,FALSE)</f>
        <v>Sudeste</v>
      </c>
      <c r="E2397" s="90" t="s">
        <v>13735</v>
      </c>
      <c r="F2397" s="91">
        <v>46924</v>
      </c>
      <c r="G2397" s="92">
        <v>114720</v>
      </c>
      <c r="H2397" s="90" t="s">
        <v>14</v>
      </c>
      <c r="I23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97" s="90" t="s">
        <v>4039</v>
      </c>
    </row>
    <row r="2398" spans="1:11">
      <c r="A2398" s="90" t="s">
        <v>4038</v>
      </c>
      <c r="B2398" s="90" t="s">
        <v>4039</v>
      </c>
      <c r="C2398" s="90" t="s">
        <v>16</v>
      </c>
      <c r="D2398" s="90" t="str">
        <f>VLOOKUP(Tabela1[[#This Row],[Origem]],'Perguntas 1 a 24'!$J$28:$K$34,2,FALSE)</f>
        <v>Sudeste</v>
      </c>
      <c r="E2398" s="90" t="s">
        <v>13736</v>
      </c>
      <c r="F2398" s="91">
        <v>46925</v>
      </c>
      <c r="G2398" s="92">
        <v>73279</v>
      </c>
      <c r="H2398" s="90" t="s">
        <v>14</v>
      </c>
      <c r="I23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398" s="90" t="s">
        <v>18</v>
      </c>
    </row>
    <row r="2399" spans="1:11">
      <c r="A2399" s="90" t="s">
        <v>4487</v>
      </c>
      <c r="B2399" s="90" t="s">
        <v>18</v>
      </c>
      <c r="C2399" s="90" t="s">
        <v>10</v>
      </c>
      <c r="D2399" s="90" t="str">
        <f>VLOOKUP(Tabela1[[#This Row],[Origem]],'Perguntas 1 a 24'!$J$28:$K$34,2,FALSE)</f>
        <v>Centro-Oeste</v>
      </c>
      <c r="E2399" s="90" t="s">
        <v>13737</v>
      </c>
      <c r="F2399" s="91">
        <v>46926</v>
      </c>
      <c r="G2399" s="92">
        <v>47791</v>
      </c>
      <c r="H2399" s="90" t="s">
        <v>11</v>
      </c>
      <c r="I23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399" s="90" t="s">
        <v>5801</v>
      </c>
    </row>
    <row r="2400" spans="1:11">
      <c r="A2400" s="90" t="s">
        <v>5800</v>
      </c>
      <c r="B2400" s="90" t="s">
        <v>5801</v>
      </c>
      <c r="C2400" s="90" t="s">
        <v>10</v>
      </c>
      <c r="D2400" s="90" t="str">
        <f>VLOOKUP(Tabela1[[#This Row],[Origem]],'Perguntas 1 a 24'!$J$28:$K$34,2,FALSE)</f>
        <v>Centro-Oeste</v>
      </c>
      <c r="E2400" s="90" t="s">
        <v>13738</v>
      </c>
      <c r="F2400" s="91">
        <v>46926</v>
      </c>
      <c r="G2400" s="92">
        <v>106788</v>
      </c>
      <c r="H2400" s="90" t="s">
        <v>9</v>
      </c>
      <c r="I24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0" s="90" t="s">
        <v>3873</v>
      </c>
    </row>
    <row r="2401" spans="1:11">
      <c r="A2401" s="90" t="s">
        <v>3872</v>
      </c>
      <c r="B2401" s="90" t="s">
        <v>3873</v>
      </c>
      <c r="C2401" s="90" t="s">
        <v>16</v>
      </c>
      <c r="D2401" s="90" t="str">
        <f>VLOOKUP(Tabela1[[#This Row],[Origem]],'Perguntas 1 a 24'!$J$28:$K$34,2,FALSE)</f>
        <v>Sudeste</v>
      </c>
      <c r="E2401" s="90" t="s">
        <v>13739</v>
      </c>
      <c r="F2401" s="91">
        <v>46927</v>
      </c>
      <c r="G2401" s="92">
        <v>99466</v>
      </c>
      <c r="H2401" s="90" t="s">
        <v>11</v>
      </c>
      <c r="I24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1" s="90" t="s">
        <v>5017</v>
      </c>
    </row>
    <row r="2402" spans="1:11">
      <c r="A2402" s="90" t="s">
        <v>5016</v>
      </c>
      <c r="B2402" s="90" t="s">
        <v>5017</v>
      </c>
      <c r="C2402" s="90" t="s">
        <v>8</v>
      </c>
      <c r="D2402" s="90" t="str">
        <f>VLOOKUP(Tabela1[[#This Row],[Origem]],'Perguntas 1 a 24'!$J$28:$K$34,2,FALSE)</f>
        <v>Nordeste</v>
      </c>
      <c r="E2402" s="90" t="s">
        <v>13740</v>
      </c>
      <c r="F2402" s="91">
        <v>46927</v>
      </c>
      <c r="G2402" s="92">
        <v>108518</v>
      </c>
      <c r="H2402" s="90" t="s">
        <v>7</v>
      </c>
      <c r="I24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2" s="90" t="s">
        <v>9572</v>
      </c>
    </row>
    <row r="2403" spans="1:11">
      <c r="A2403" s="90" t="s">
        <v>9571</v>
      </c>
      <c r="B2403" s="90" t="s">
        <v>9572</v>
      </c>
      <c r="C2403" s="90" t="s">
        <v>6</v>
      </c>
      <c r="D2403" s="90" t="str">
        <f>VLOOKUP(Tabela1[[#This Row],[Origem]],'Perguntas 1 a 24'!$J$28:$K$34,2,FALSE)</f>
        <v>Nordeste</v>
      </c>
      <c r="E2403" s="90" t="s">
        <v>13741</v>
      </c>
      <c r="F2403" s="91">
        <v>46927</v>
      </c>
      <c r="G2403" s="92">
        <v>83717</v>
      </c>
      <c r="H2403" s="90" t="s">
        <v>14</v>
      </c>
      <c r="I24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3" s="90" t="s">
        <v>10792</v>
      </c>
    </row>
    <row r="2404" spans="1:11">
      <c r="A2404" s="90" t="s">
        <v>10791</v>
      </c>
      <c r="B2404" s="90" t="s">
        <v>10792</v>
      </c>
      <c r="C2404" s="90" t="s">
        <v>10</v>
      </c>
      <c r="D2404" s="90" t="str">
        <f>VLOOKUP(Tabela1[[#This Row],[Origem]],'Perguntas 1 a 24'!$J$28:$K$34,2,FALSE)</f>
        <v>Centro-Oeste</v>
      </c>
      <c r="E2404" s="90" t="s">
        <v>13742</v>
      </c>
      <c r="F2404" s="91">
        <v>46927</v>
      </c>
      <c r="G2404" s="92">
        <v>83282</v>
      </c>
      <c r="H2404" s="90" t="s">
        <v>14</v>
      </c>
      <c r="I24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4" s="90" t="s">
        <v>6177</v>
      </c>
    </row>
    <row r="2405" spans="1:11">
      <c r="A2405" s="90" t="s">
        <v>6176</v>
      </c>
      <c r="B2405" s="90" t="s">
        <v>6177</v>
      </c>
      <c r="C2405" s="90" t="s">
        <v>16</v>
      </c>
      <c r="D2405" s="90" t="str">
        <f>VLOOKUP(Tabela1[[#This Row],[Origem]],'Perguntas 1 a 24'!$J$28:$K$34,2,FALSE)</f>
        <v>Sudeste</v>
      </c>
      <c r="E2405" s="90" t="s">
        <v>13743</v>
      </c>
      <c r="F2405" s="91">
        <v>46928</v>
      </c>
      <c r="G2405" s="92">
        <v>61608</v>
      </c>
      <c r="H2405" s="90" t="s">
        <v>7</v>
      </c>
      <c r="I24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5" s="90" t="s">
        <v>6457</v>
      </c>
    </row>
    <row r="2406" spans="1:11">
      <c r="A2406" s="90" t="s">
        <v>6456</v>
      </c>
      <c r="B2406" s="90" t="s">
        <v>6457</v>
      </c>
      <c r="C2406" s="90" t="s">
        <v>15</v>
      </c>
      <c r="D2406" s="90" t="str">
        <f>VLOOKUP(Tabela1[[#This Row],[Origem]],'Perguntas 1 a 24'!$J$28:$K$34,2,FALSE)</f>
        <v>Sudeste</v>
      </c>
      <c r="E2406" s="90" t="s">
        <v>13744</v>
      </c>
      <c r="F2406" s="91">
        <v>46928</v>
      </c>
      <c r="G2406" s="92">
        <v>56966</v>
      </c>
      <c r="H2406" s="90" t="s">
        <v>11</v>
      </c>
      <c r="I24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6" s="90" t="s">
        <v>10452</v>
      </c>
    </row>
    <row r="2407" spans="1:11">
      <c r="A2407" s="90" t="s">
        <v>10451</v>
      </c>
      <c r="B2407" s="90" t="s">
        <v>10452</v>
      </c>
      <c r="C2407" s="90" t="s">
        <v>13</v>
      </c>
      <c r="D2407" s="90" t="str">
        <f>VLOOKUP(Tabela1[[#This Row],[Origem]],'Perguntas 1 a 24'!$J$28:$K$34,2,FALSE)</f>
        <v>Sudeste</v>
      </c>
      <c r="E2407" s="90" t="s">
        <v>13745</v>
      </c>
      <c r="F2407" s="91">
        <v>46930</v>
      </c>
      <c r="G2407" s="92">
        <v>107450</v>
      </c>
      <c r="H2407" s="90" t="s">
        <v>7</v>
      </c>
      <c r="I24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7" s="90" t="s">
        <v>4543</v>
      </c>
    </row>
    <row r="2408" spans="1:11">
      <c r="A2408" s="90" t="s">
        <v>4542</v>
      </c>
      <c r="B2408" s="90" t="s">
        <v>4543</v>
      </c>
      <c r="C2408" s="90" t="s">
        <v>15</v>
      </c>
      <c r="D2408" s="90" t="str">
        <f>VLOOKUP(Tabela1[[#This Row],[Origem]],'Perguntas 1 a 24'!$J$28:$K$34,2,FALSE)</f>
        <v>Sudeste</v>
      </c>
      <c r="E2408" s="90" t="s">
        <v>13746</v>
      </c>
      <c r="F2408" s="91">
        <v>46931</v>
      </c>
      <c r="G2408" s="92">
        <v>65668</v>
      </c>
      <c r="H2408" s="90" t="s">
        <v>14</v>
      </c>
      <c r="I24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8" s="90" t="s">
        <v>6509</v>
      </c>
    </row>
    <row r="2409" spans="1:11">
      <c r="A2409" s="90" t="s">
        <v>6508</v>
      </c>
      <c r="B2409" s="90" t="s">
        <v>6509</v>
      </c>
      <c r="C2409" s="90" t="s">
        <v>12</v>
      </c>
      <c r="D2409" s="90" t="str">
        <f>VLOOKUP(Tabela1[[#This Row],[Origem]],'Perguntas 1 a 24'!$J$28:$K$34,2,FALSE)</f>
        <v>Sudeste</v>
      </c>
      <c r="E2409" s="90" t="s">
        <v>13747</v>
      </c>
      <c r="F2409" s="91">
        <v>46932</v>
      </c>
      <c r="G2409" s="92">
        <v>86019</v>
      </c>
      <c r="H2409" s="90" t="s">
        <v>7</v>
      </c>
      <c r="I24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09" s="90" t="s">
        <v>6635</v>
      </c>
    </row>
    <row r="2410" spans="1:11">
      <c r="A2410" s="90" t="s">
        <v>6634</v>
      </c>
      <c r="B2410" s="90" t="s">
        <v>6635</v>
      </c>
      <c r="C2410" s="90" t="s">
        <v>13</v>
      </c>
      <c r="D2410" s="90" t="str">
        <f>VLOOKUP(Tabela1[[#This Row],[Origem]],'Perguntas 1 a 24'!$J$28:$K$34,2,FALSE)</f>
        <v>Sudeste</v>
      </c>
      <c r="E2410" s="90" t="s">
        <v>13748</v>
      </c>
      <c r="F2410" s="91">
        <v>46933</v>
      </c>
      <c r="G2410" s="92">
        <v>49470</v>
      </c>
      <c r="H2410" s="90" t="s">
        <v>11</v>
      </c>
      <c r="I24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10" s="90" t="s">
        <v>7875</v>
      </c>
    </row>
    <row r="2411" spans="1:11">
      <c r="A2411" s="90" t="s">
        <v>7874</v>
      </c>
      <c r="B2411" s="90" t="s">
        <v>7875</v>
      </c>
      <c r="C2411" s="90" t="s">
        <v>12</v>
      </c>
      <c r="D2411" s="90" t="str">
        <f>VLOOKUP(Tabela1[[#This Row],[Origem]],'Perguntas 1 a 24'!$J$28:$K$34,2,FALSE)</f>
        <v>Sudeste</v>
      </c>
      <c r="E2411" s="90" t="s">
        <v>13749</v>
      </c>
      <c r="F2411" s="91">
        <v>46933</v>
      </c>
      <c r="G2411" s="92">
        <v>88133</v>
      </c>
      <c r="H2411" s="90" t="s">
        <v>9</v>
      </c>
      <c r="I24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11" s="90" t="s">
        <v>11051</v>
      </c>
    </row>
    <row r="2412" spans="1:11">
      <c r="A2412" s="90" t="s">
        <v>11050</v>
      </c>
      <c r="B2412" s="90" t="s">
        <v>11051</v>
      </c>
      <c r="C2412" s="90" t="s">
        <v>6</v>
      </c>
      <c r="D2412" s="90" t="str">
        <f>VLOOKUP(Tabela1[[#This Row],[Origem]],'Perguntas 1 a 24'!$J$28:$K$34,2,FALSE)</f>
        <v>Nordeste</v>
      </c>
      <c r="E2412" s="90" t="s">
        <v>13750</v>
      </c>
      <c r="F2412" s="91">
        <v>46933</v>
      </c>
      <c r="G2412" s="92">
        <v>40971</v>
      </c>
      <c r="H2412" s="90" t="s">
        <v>7</v>
      </c>
      <c r="I24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12" s="90" t="s">
        <v>9508</v>
      </c>
    </row>
    <row r="2413" spans="1:11">
      <c r="A2413" s="90" t="s">
        <v>9507</v>
      </c>
      <c r="B2413" s="90" t="s">
        <v>9508</v>
      </c>
      <c r="C2413" s="90" t="s">
        <v>10</v>
      </c>
      <c r="D2413" s="90" t="str">
        <f>VLOOKUP(Tabela1[[#This Row],[Origem]],'Perguntas 1 a 24'!$J$28:$K$34,2,FALSE)</f>
        <v>Centro-Oeste</v>
      </c>
      <c r="E2413" s="90" t="s">
        <v>13751</v>
      </c>
      <c r="F2413" s="91">
        <v>46934</v>
      </c>
      <c r="G2413" s="92">
        <v>98421</v>
      </c>
      <c r="H2413" s="90" t="s">
        <v>14</v>
      </c>
      <c r="I24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13" s="90" t="s">
        <v>6637</v>
      </c>
    </row>
    <row r="2414" spans="1:11">
      <c r="A2414" s="90" t="s">
        <v>6636</v>
      </c>
      <c r="B2414" s="90" t="s">
        <v>6637</v>
      </c>
      <c r="C2414" s="90" t="s">
        <v>15</v>
      </c>
      <c r="D2414" s="90" t="str">
        <f>VLOOKUP(Tabela1[[#This Row],[Origem]],'Perguntas 1 a 24'!$J$28:$K$34,2,FALSE)</f>
        <v>Sudeste</v>
      </c>
      <c r="E2414" s="90" t="s">
        <v>13752</v>
      </c>
      <c r="F2414" s="91">
        <v>46935</v>
      </c>
      <c r="G2414" s="92">
        <v>70713</v>
      </c>
      <c r="H2414" s="90" t="s">
        <v>7</v>
      </c>
      <c r="I24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14" s="90" t="s">
        <v>6383</v>
      </c>
    </row>
    <row r="2415" spans="1:11">
      <c r="A2415" s="90" t="s">
        <v>6382</v>
      </c>
      <c r="B2415" s="90" t="s">
        <v>6383</v>
      </c>
      <c r="C2415" s="90" t="s">
        <v>16</v>
      </c>
      <c r="D2415" s="90" t="str">
        <f>VLOOKUP(Tabela1[[#This Row],[Origem]],'Perguntas 1 a 24'!$J$28:$K$34,2,FALSE)</f>
        <v>Sudeste</v>
      </c>
      <c r="E2415" s="90" t="s">
        <v>13753</v>
      </c>
      <c r="F2415" s="91">
        <v>46936</v>
      </c>
      <c r="G2415" s="92">
        <v>59615</v>
      </c>
      <c r="H2415" s="90" t="s">
        <v>9</v>
      </c>
      <c r="I24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15" s="90" t="s">
        <v>8790</v>
      </c>
    </row>
    <row r="2416" spans="1:11">
      <c r="A2416" s="90" t="s">
        <v>8789</v>
      </c>
      <c r="B2416" s="90" t="s">
        <v>8790</v>
      </c>
      <c r="C2416" s="90" t="s">
        <v>6</v>
      </c>
      <c r="D2416" s="90" t="str">
        <f>VLOOKUP(Tabela1[[#This Row],[Origem]],'Perguntas 1 a 24'!$J$28:$K$34,2,FALSE)</f>
        <v>Nordeste</v>
      </c>
      <c r="E2416" s="90" t="s">
        <v>13754</v>
      </c>
      <c r="F2416" s="91">
        <v>46937</v>
      </c>
      <c r="G2416" s="92">
        <v>21108</v>
      </c>
      <c r="H2416" s="90" t="s">
        <v>9</v>
      </c>
      <c r="I24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16" s="90" t="s">
        <v>9034</v>
      </c>
    </row>
    <row r="2417" spans="1:11">
      <c r="A2417" s="90" t="s">
        <v>9033</v>
      </c>
      <c r="B2417" s="90" t="s">
        <v>9034</v>
      </c>
      <c r="C2417" s="90" t="s">
        <v>10</v>
      </c>
      <c r="D2417" s="90" t="str">
        <f>VLOOKUP(Tabela1[[#This Row],[Origem]],'Perguntas 1 a 24'!$J$28:$K$34,2,FALSE)</f>
        <v>Centro-Oeste</v>
      </c>
      <c r="E2417" s="90" t="s">
        <v>13755</v>
      </c>
      <c r="F2417" s="91">
        <v>46937</v>
      </c>
      <c r="G2417" s="92">
        <v>77249</v>
      </c>
      <c r="H2417" s="90" t="s">
        <v>7</v>
      </c>
      <c r="I24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17" s="90" t="s">
        <v>3817</v>
      </c>
    </row>
    <row r="2418" spans="1:11">
      <c r="A2418" s="90" t="s">
        <v>3816</v>
      </c>
      <c r="B2418" s="90" t="s">
        <v>3817</v>
      </c>
      <c r="C2418" s="90" t="s">
        <v>13</v>
      </c>
      <c r="D2418" s="90" t="str">
        <f>VLOOKUP(Tabela1[[#This Row],[Origem]],'Perguntas 1 a 24'!$J$28:$K$34,2,FALSE)</f>
        <v>Sudeste</v>
      </c>
      <c r="E2418" s="90" t="s">
        <v>13756</v>
      </c>
      <c r="F2418" s="91">
        <v>46938</v>
      </c>
      <c r="G2418" s="92">
        <v>78852</v>
      </c>
      <c r="H2418" s="90" t="s">
        <v>14</v>
      </c>
      <c r="I24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18" s="90" t="s">
        <v>6065</v>
      </c>
    </row>
    <row r="2419" spans="1:11">
      <c r="A2419" s="90" t="s">
        <v>6064</v>
      </c>
      <c r="B2419" s="90" t="s">
        <v>6065</v>
      </c>
      <c r="C2419" s="90" t="s">
        <v>10</v>
      </c>
      <c r="D2419" s="90" t="str">
        <f>VLOOKUP(Tabela1[[#This Row],[Origem]],'Perguntas 1 a 24'!$J$28:$K$34,2,FALSE)</f>
        <v>Centro-Oeste</v>
      </c>
      <c r="E2419" s="90" t="s">
        <v>13757</v>
      </c>
      <c r="F2419" s="91">
        <v>46939</v>
      </c>
      <c r="G2419" s="92">
        <v>53076</v>
      </c>
      <c r="H2419" s="90" t="s">
        <v>7</v>
      </c>
      <c r="I24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19" s="90" t="s">
        <v>7561</v>
      </c>
    </row>
    <row r="2420" spans="1:11">
      <c r="A2420" s="90" t="s">
        <v>7560</v>
      </c>
      <c r="B2420" s="90" t="s">
        <v>7561</v>
      </c>
      <c r="C2420" s="90" t="s">
        <v>10</v>
      </c>
      <c r="D2420" s="90" t="str">
        <f>VLOOKUP(Tabela1[[#This Row],[Origem]],'Perguntas 1 a 24'!$J$28:$K$34,2,FALSE)</f>
        <v>Centro-Oeste</v>
      </c>
      <c r="E2420" s="90" t="s">
        <v>13758</v>
      </c>
      <c r="F2420" s="91">
        <v>46939</v>
      </c>
      <c r="G2420" s="92">
        <v>86397</v>
      </c>
      <c r="H2420" s="90" t="s">
        <v>7</v>
      </c>
      <c r="I24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20" s="90" t="s">
        <v>4599</v>
      </c>
    </row>
    <row r="2421" spans="1:11">
      <c r="A2421" s="90" t="s">
        <v>4598</v>
      </c>
      <c r="B2421" s="90" t="s">
        <v>4599</v>
      </c>
      <c r="C2421" s="90" t="s">
        <v>12</v>
      </c>
      <c r="D2421" s="90" t="str">
        <f>VLOOKUP(Tabela1[[#This Row],[Origem]],'Perguntas 1 a 24'!$J$28:$K$34,2,FALSE)</f>
        <v>Sudeste</v>
      </c>
      <c r="E2421" s="90" t="s">
        <v>13759</v>
      </c>
      <c r="F2421" s="91">
        <v>46940</v>
      </c>
      <c r="G2421" s="92">
        <v>77213</v>
      </c>
      <c r="H2421" s="90" t="s">
        <v>7</v>
      </c>
      <c r="I24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21" s="90" t="s">
        <v>8169</v>
      </c>
    </row>
    <row r="2422" spans="1:11">
      <c r="A2422" s="90" t="s">
        <v>8168</v>
      </c>
      <c r="B2422" s="90" t="s">
        <v>8169</v>
      </c>
      <c r="C2422" s="90" t="s">
        <v>6</v>
      </c>
      <c r="D2422" s="90" t="str">
        <f>VLOOKUP(Tabela1[[#This Row],[Origem]],'Perguntas 1 a 24'!$J$28:$K$34,2,FALSE)</f>
        <v>Nordeste</v>
      </c>
      <c r="E2422" s="90" t="s">
        <v>13760</v>
      </c>
      <c r="F2422" s="91">
        <v>46940</v>
      </c>
      <c r="G2422" s="92">
        <v>38442</v>
      </c>
      <c r="H2422" s="90" t="s">
        <v>9</v>
      </c>
      <c r="I24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22" s="90" t="s">
        <v>4272</v>
      </c>
    </row>
    <row r="2423" spans="1:11">
      <c r="A2423" s="90" t="s">
        <v>4271</v>
      </c>
      <c r="B2423" s="90" t="s">
        <v>4272</v>
      </c>
      <c r="C2423" s="90" t="s">
        <v>10</v>
      </c>
      <c r="D2423" s="90" t="str">
        <f>VLOOKUP(Tabela1[[#This Row],[Origem]],'Perguntas 1 a 24'!$J$28:$K$34,2,FALSE)</f>
        <v>Centro-Oeste</v>
      </c>
      <c r="E2423" s="90" t="s">
        <v>13761</v>
      </c>
      <c r="F2423" s="91">
        <v>46941</v>
      </c>
      <c r="G2423" s="92">
        <v>115549</v>
      </c>
      <c r="H2423" s="90" t="s">
        <v>9</v>
      </c>
      <c r="I24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23" s="90" t="s">
        <v>7713</v>
      </c>
    </row>
    <row r="2424" spans="1:11">
      <c r="A2424" s="90" t="s">
        <v>7712</v>
      </c>
      <c r="B2424" s="90" t="s">
        <v>7713</v>
      </c>
      <c r="C2424" s="90" t="s">
        <v>6</v>
      </c>
      <c r="D2424" s="90" t="str">
        <f>VLOOKUP(Tabela1[[#This Row],[Origem]],'Perguntas 1 a 24'!$J$28:$K$34,2,FALSE)</f>
        <v>Nordeste</v>
      </c>
      <c r="E2424" s="90" t="s">
        <v>13762</v>
      </c>
      <c r="F2424" s="91">
        <v>46941</v>
      </c>
      <c r="G2424" s="92">
        <v>110675</v>
      </c>
      <c r="H2424" s="90" t="s">
        <v>14</v>
      </c>
      <c r="I24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24" s="90" t="s">
        <v>8351</v>
      </c>
    </row>
    <row r="2425" spans="1:11">
      <c r="A2425" s="90" t="s">
        <v>8350</v>
      </c>
      <c r="B2425" s="90" t="s">
        <v>8351</v>
      </c>
      <c r="C2425" s="90" t="s">
        <v>13</v>
      </c>
      <c r="D2425" s="90" t="str">
        <f>VLOOKUP(Tabela1[[#This Row],[Origem]],'Perguntas 1 a 24'!$J$28:$K$34,2,FALSE)</f>
        <v>Sudeste</v>
      </c>
      <c r="E2425" s="90" t="s">
        <v>13763</v>
      </c>
      <c r="F2425" s="91">
        <v>46941</v>
      </c>
      <c r="G2425" s="92">
        <v>111520</v>
      </c>
      <c r="H2425" s="90" t="s">
        <v>7</v>
      </c>
      <c r="I24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25" s="90" t="s">
        <v>10590</v>
      </c>
    </row>
    <row r="2426" spans="1:11">
      <c r="A2426" s="90" t="s">
        <v>10589</v>
      </c>
      <c r="B2426" s="90" t="s">
        <v>10590</v>
      </c>
      <c r="C2426" s="90" t="s">
        <v>12</v>
      </c>
      <c r="D2426" s="90" t="str">
        <f>VLOOKUP(Tabela1[[#This Row],[Origem]],'Perguntas 1 a 24'!$J$28:$K$34,2,FALSE)</f>
        <v>Sudeste</v>
      </c>
      <c r="E2426" s="90" t="s">
        <v>13764</v>
      </c>
      <c r="F2426" s="91">
        <v>46942</v>
      </c>
      <c r="G2426" s="92">
        <v>31294</v>
      </c>
      <c r="H2426" s="90" t="s">
        <v>9</v>
      </c>
      <c r="I24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26" s="90" t="s">
        <v>3727</v>
      </c>
    </row>
    <row r="2427" spans="1:11">
      <c r="A2427" s="90" t="s">
        <v>3726</v>
      </c>
      <c r="B2427" s="90" t="s">
        <v>3727</v>
      </c>
      <c r="C2427" s="90" t="s">
        <v>15</v>
      </c>
      <c r="D2427" s="90" t="str">
        <f>VLOOKUP(Tabela1[[#This Row],[Origem]],'Perguntas 1 a 24'!$J$28:$K$34,2,FALSE)</f>
        <v>Sudeste</v>
      </c>
      <c r="E2427" s="90" t="s">
        <v>13765</v>
      </c>
      <c r="F2427" s="91">
        <v>46943</v>
      </c>
      <c r="G2427" s="92">
        <v>97343</v>
      </c>
      <c r="H2427" s="90" t="s">
        <v>14</v>
      </c>
      <c r="I24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27" s="90" t="s">
        <v>8249</v>
      </c>
    </row>
    <row r="2428" spans="1:11">
      <c r="A2428" s="90" t="s">
        <v>8248</v>
      </c>
      <c r="B2428" s="90" t="s">
        <v>8249</v>
      </c>
      <c r="C2428" s="90" t="s">
        <v>10</v>
      </c>
      <c r="D2428" s="90" t="str">
        <f>VLOOKUP(Tabela1[[#This Row],[Origem]],'Perguntas 1 a 24'!$J$28:$K$34,2,FALSE)</f>
        <v>Centro-Oeste</v>
      </c>
      <c r="E2428" s="90" t="s">
        <v>13766</v>
      </c>
      <c r="F2428" s="91">
        <v>46943</v>
      </c>
      <c r="G2428" s="92">
        <v>41387</v>
      </c>
      <c r="H2428" s="90" t="s">
        <v>14</v>
      </c>
      <c r="I24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28" s="90" t="s">
        <v>7219</v>
      </c>
    </row>
    <row r="2429" spans="1:11">
      <c r="A2429" s="90" t="s">
        <v>7218</v>
      </c>
      <c r="B2429" s="90" t="s">
        <v>7219</v>
      </c>
      <c r="C2429" s="90" t="s">
        <v>13</v>
      </c>
      <c r="D2429" s="90" t="str">
        <f>VLOOKUP(Tabela1[[#This Row],[Origem]],'Perguntas 1 a 24'!$J$28:$K$34,2,FALSE)</f>
        <v>Sudeste</v>
      </c>
      <c r="E2429" s="90" t="s">
        <v>13767</v>
      </c>
      <c r="F2429" s="91">
        <v>46945</v>
      </c>
      <c r="G2429" s="92">
        <v>108905</v>
      </c>
      <c r="H2429" s="90" t="s">
        <v>11</v>
      </c>
      <c r="I24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29" s="90" t="s">
        <v>8982</v>
      </c>
    </row>
    <row r="2430" spans="1:11">
      <c r="A2430" s="90" t="s">
        <v>8981</v>
      </c>
      <c r="B2430" s="90" t="s">
        <v>8982</v>
      </c>
      <c r="C2430" s="90" t="s">
        <v>8</v>
      </c>
      <c r="D2430" s="90" t="str">
        <f>VLOOKUP(Tabela1[[#This Row],[Origem]],'Perguntas 1 a 24'!$J$28:$K$34,2,FALSE)</f>
        <v>Nordeste</v>
      </c>
      <c r="E2430" s="90" t="s">
        <v>13768</v>
      </c>
      <c r="F2430" s="91">
        <v>46945</v>
      </c>
      <c r="G2430" s="92">
        <v>39391</v>
      </c>
      <c r="H2430" s="90" t="s">
        <v>14</v>
      </c>
      <c r="I24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30" s="90" t="s">
        <v>10554</v>
      </c>
    </row>
    <row r="2431" spans="1:11">
      <c r="A2431" s="90" t="s">
        <v>10553</v>
      </c>
      <c r="B2431" s="90" t="s">
        <v>10554</v>
      </c>
      <c r="C2431" s="90" t="s">
        <v>10</v>
      </c>
      <c r="D2431" s="90" t="str">
        <f>VLOOKUP(Tabela1[[#This Row],[Origem]],'Perguntas 1 a 24'!$J$28:$K$34,2,FALSE)</f>
        <v>Centro-Oeste</v>
      </c>
      <c r="E2431" s="90" t="s">
        <v>13769</v>
      </c>
      <c r="F2431" s="91">
        <v>46945</v>
      </c>
      <c r="G2431" s="92">
        <v>68791</v>
      </c>
      <c r="H2431" s="90" t="s">
        <v>9</v>
      </c>
      <c r="I24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31" s="90" t="s">
        <v>5499</v>
      </c>
    </row>
    <row r="2432" spans="1:11">
      <c r="A2432" s="90" t="s">
        <v>5498</v>
      </c>
      <c r="B2432" s="90" t="s">
        <v>5499</v>
      </c>
      <c r="C2432" s="90" t="s">
        <v>12</v>
      </c>
      <c r="D2432" s="90" t="str">
        <f>VLOOKUP(Tabela1[[#This Row],[Origem]],'Perguntas 1 a 24'!$J$28:$K$34,2,FALSE)</f>
        <v>Sudeste</v>
      </c>
      <c r="E2432" s="90" t="s">
        <v>13770</v>
      </c>
      <c r="F2432" s="91">
        <v>46946</v>
      </c>
      <c r="G2432" s="92">
        <v>94860</v>
      </c>
      <c r="H2432" s="90" t="s">
        <v>11</v>
      </c>
      <c r="I24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32" s="90" t="s">
        <v>8670</v>
      </c>
    </row>
    <row r="2433" spans="1:11">
      <c r="A2433" s="90" t="s">
        <v>8669</v>
      </c>
      <c r="B2433" s="90" t="s">
        <v>8670</v>
      </c>
      <c r="C2433" s="90" t="s">
        <v>12</v>
      </c>
      <c r="D2433" s="90" t="str">
        <f>VLOOKUP(Tabela1[[#This Row],[Origem]],'Perguntas 1 a 24'!$J$28:$K$34,2,FALSE)</f>
        <v>Sudeste</v>
      </c>
      <c r="E2433" s="90" t="s">
        <v>13771</v>
      </c>
      <c r="F2433" s="91">
        <v>46946</v>
      </c>
      <c r="G2433" s="92">
        <v>20609</v>
      </c>
      <c r="H2433" s="90" t="s">
        <v>9</v>
      </c>
      <c r="I24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33" s="90" t="s">
        <v>6501</v>
      </c>
    </row>
    <row r="2434" spans="1:11">
      <c r="A2434" s="90" t="s">
        <v>6500</v>
      </c>
      <c r="B2434" s="90" t="s">
        <v>6501</v>
      </c>
      <c r="C2434" s="90" t="s">
        <v>16</v>
      </c>
      <c r="D2434" s="90" t="str">
        <f>VLOOKUP(Tabela1[[#This Row],[Origem]],'Perguntas 1 a 24'!$J$28:$K$34,2,FALSE)</f>
        <v>Sudeste</v>
      </c>
      <c r="E2434" s="90" t="s">
        <v>13772</v>
      </c>
      <c r="F2434" s="91">
        <v>46948</v>
      </c>
      <c r="G2434" s="92">
        <v>40801</v>
      </c>
      <c r="H2434" s="90" t="s">
        <v>7</v>
      </c>
      <c r="I24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34" s="90" t="s">
        <v>7963</v>
      </c>
    </row>
    <row r="2435" spans="1:11">
      <c r="A2435" s="90" t="s">
        <v>7962</v>
      </c>
      <c r="B2435" s="90" t="s">
        <v>7963</v>
      </c>
      <c r="C2435" s="90" t="s">
        <v>15</v>
      </c>
      <c r="D2435" s="90" t="str">
        <f>VLOOKUP(Tabela1[[#This Row],[Origem]],'Perguntas 1 a 24'!$J$28:$K$34,2,FALSE)</f>
        <v>Sudeste</v>
      </c>
      <c r="E2435" s="90" t="s">
        <v>13773</v>
      </c>
      <c r="F2435" s="91">
        <v>46948</v>
      </c>
      <c r="G2435" s="92">
        <v>95390</v>
      </c>
      <c r="H2435" s="90" t="s">
        <v>9</v>
      </c>
      <c r="I24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35" s="90" t="s">
        <v>8630</v>
      </c>
    </row>
    <row r="2436" spans="1:11">
      <c r="A2436" s="90" t="s">
        <v>8629</v>
      </c>
      <c r="B2436" s="90" t="s">
        <v>8630</v>
      </c>
      <c r="C2436" s="90" t="s">
        <v>10</v>
      </c>
      <c r="D2436" s="90" t="str">
        <f>VLOOKUP(Tabela1[[#This Row],[Origem]],'Perguntas 1 a 24'!$J$28:$K$34,2,FALSE)</f>
        <v>Centro-Oeste</v>
      </c>
      <c r="E2436" s="90" t="s">
        <v>13774</v>
      </c>
      <c r="F2436" s="91">
        <v>46949</v>
      </c>
      <c r="G2436" s="92">
        <v>75605</v>
      </c>
      <c r="H2436" s="90" t="s">
        <v>11</v>
      </c>
      <c r="I24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36" s="90" t="s">
        <v>11079</v>
      </c>
    </row>
    <row r="2437" spans="1:11">
      <c r="A2437" s="90" t="s">
        <v>11078</v>
      </c>
      <c r="B2437" s="90" t="s">
        <v>11079</v>
      </c>
      <c r="C2437" s="90" t="s">
        <v>8</v>
      </c>
      <c r="D2437" s="90" t="str">
        <f>VLOOKUP(Tabela1[[#This Row],[Origem]],'Perguntas 1 a 24'!$J$28:$K$34,2,FALSE)</f>
        <v>Nordeste</v>
      </c>
      <c r="E2437" s="90" t="s">
        <v>13775</v>
      </c>
      <c r="F2437" s="91">
        <v>46949</v>
      </c>
      <c r="G2437" s="92">
        <v>93242</v>
      </c>
      <c r="H2437" s="90" t="s">
        <v>14</v>
      </c>
      <c r="I24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37" s="90" t="s">
        <v>3682</v>
      </c>
    </row>
    <row r="2438" spans="1:11">
      <c r="A2438" s="90" t="s">
        <v>3681</v>
      </c>
      <c r="B2438" s="90" t="s">
        <v>3682</v>
      </c>
      <c r="C2438" s="90" t="s">
        <v>15</v>
      </c>
      <c r="D2438" s="90" t="str">
        <f>VLOOKUP(Tabela1[[#This Row],[Origem]],'Perguntas 1 a 24'!$J$28:$K$34,2,FALSE)</f>
        <v>Sudeste</v>
      </c>
      <c r="E2438" s="90" t="s">
        <v>13776</v>
      </c>
      <c r="F2438" s="91">
        <v>46950</v>
      </c>
      <c r="G2438" s="92">
        <v>60110</v>
      </c>
      <c r="H2438" s="90" t="s">
        <v>7</v>
      </c>
      <c r="I24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38" s="90" t="s">
        <v>8231</v>
      </c>
    </row>
    <row r="2439" spans="1:11">
      <c r="A2439" s="90" t="s">
        <v>8230</v>
      </c>
      <c r="B2439" s="90" t="s">
        <v>8231</v>
      </c>
      <c r="C2439" s="90" t="s">
        <v>10</v>
      </c>
      <c r="D2439" s="90" t="str">
        <f>VLOOKUP(Tabela1[[#This Row],[Origem]],'Perguntas 1 a 24'!$J$28:$K$34,2,FALSE)</f>
        <v>Centro-Oeste</v>
      </c>
      <c r="E2439" s="90" t="s">
        <v>13777</v>
      </c>
      <c r="F2439" s="91">
        <v>46950</v>
      </c>
      <c r="G2439" s="92">
        <v>109952</v>
      </c>
      <c r="H2439" s="90" t="s">
        <v>11</v>
      </c>
      <c r="I24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39" s="90" t="s">
        <v>9588</v>
      </c>
    </row>
    <row r="2440" spans="1:11">
      <c r="A2440" s="90" t="s">
        <v>9587</v>
      </c>
      <c r="B2440" s="90" t="s">
        <v>9588</v>
      </c>
      <c r="C2440" s="90" t="s">
        <v>8</v>
      </c>
      <c r="D2440" s="90" t="str">
        <f>VLOOKUP(Tabela1[[#This Row],[Origem]],'Perguntas 1 a 24'!$J$28:$K$34,2,FALSE)</f>
        <v>Nordeste</v>
      </c>
      <c r="E2440" s="90" t="s">
        <v>13778</v>
      </c>
      <c r="F2440" s="91">
        <v>46950</v>
      </c>
      <c r="G2440" s="92">
        <v>55405</v>
      </c>
      <c r="H2440" s="90" t="s">
        <v>7</v>
      </c>
      <c r="I24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40" s="90" t="s">
        <v>9868</v>
      </c>
    </row>
    <row r="2441" spans="1:11">
      <c r="A2441" s="90" t="s">
        <v>9867</v>
      </c>
      <c r="B2441" s="90" t="s">
        <v>9868</v>
      </c>
      <c r="C2441" s="90" t="s">
        <v>12</v>
      </c>
      <c r="D2441" s="90" t="str">
        <f>VLOOKUP(Tabela1[[#This Row],[Origem]],'Perguntas 1 a 24'!$J$28:$K$34,2,FALSE)</f>
        <v>Sudeste</v>
      </c>
      <c r="E2441" s="90" t="s">
        <v>13779</v>
      </c>
      <c r="F2441" s="91">
        <v>46950</v>
      </c>
      <c r="G2441" s="92">
        <v>62323</v>
      </c>
      <c r="H2441" s="90" t="s">
        <v>11</v>
      </c>
      <c r="I24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41" s="90" t="s">
        <v>5061</v>
      </c>
    </row>
    <row r="2442" spans="1:11">
      <c r="A2442" s="90" t="s">
        <v>5060</v>
      </c>
      <c r="B2442" s="90" t="s">
        <v>5061</v>
      </c>
      <c r="C2442" s="90" t="s">
        <v>16</v>
      </c>
      <c r="D2442" s="90" t="str">
        <f>VLOOKUP(Tabela1[[#This Row],[Origem]],'Perguntas 1 a 24'!$J$28:$K$34,2,FALSE)</f>
        <v>Sudeste</v>
      </c>
      <c r="E2442" s="90" t="s">
        <v>13780</v>
      </c>
      <c r="F2442" s="91">
        <v>46951</v>
      </c>
      <c r="G2442" s="92">
        <v>25983</v>
      </c>
      <c r="H2442" s="90" t="s">
        <v>7</v>
      </c>
      <c r="I24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42" s="90" t="s">
        <v>6447</v>
      </c>
    </row>
    <row r="2443" spans="1:11">
      <c r="A2443" s="90" t="s">
        <v>6446</v>
      </c>
      <c r="B2443" s="90" t="s">
        <v>6447</v>
      </c>
      <c r="C2443" s="90" t="s">
        <v>15</v>
      </c>
      <c r="D2443" s="90" t="str">
        <f>VLOOKUP(Tabela1[[#This Row],[Origem]],'Perguntas 1 a 24'!$J$28:$K$34,2,FALSE)</f>
        <v>Sudeste</v>
      </c>
      <c r="E2443" s="90" t="s">
        <v>13781</v>
      </c>
      <c r="F2443" s="91">
        <v>46951</v>
      </c>
      <c r="G2443" s="92">
        <v>104539</v>
      </c>
      <c r="H2443" s="90" t="s">
        <v>7</v>
      </c>
      <c r="I24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43" s="90" t="s">
        <v>10178</v>
      </c>
    </row>
    <row r="2444" spans="1:11">
      <c r="A2444" s="90" t="s">
        <v>10177</v>
      </c>
      <c r="B2444" s="90" t="s">
        <v>10178</v>
      </c>
      <c r="C2444" s="90" t="s">
        <v>8</v>
      </c>
      <c r="D2444" s="90" t="str">
        <f>VLOOKUP(Tabela1[[#This Row],[Origem]],'Perguntas 1 a 24'!$J$28:$K$34,2,FALSE)</f>
        <v>Nordeste</v>
      </c>
      <c r="E2444" s="90" t="s">
        <v>13782</v>
      </c>
      <c r="F2444" s="91">
        <v>46951</v>
      </c>
      <c r="G2444" s="92">
        <v>78550</v>
      </c>
      <c r="H2444" s="90" t="s">
        <v>7</v>
      </c>
      <c r="I24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44" s="90" t="s">
        <v>6273</v>
      </c>
    </row>
    <row r="2445" spans="1:11">
      <c r="A2445" s="90" t="s">
        <v>6272</v>
      </c>
      <c r="B2445" s="90" t="s">
        <v>6273</v>
      </c>
      <c r="C2445" s="90" t="s">
        <v>10</v>
      </c>
      <c r="D2445" s="90" t="str">
        <f>VLOOKUP(Tabela1[[#This Row],[Origem]],'Perguntas 1 a 24'!$J$28:$K$34,2,FALSE)</f>
        <v>Centro-Oeste</v>
      </c>
      <c r="E2445" s="90" t="s">
        <v>13783</v>
      </c>
      <c r="F2445" s="91">
        <v>46952</v>
      </c>
      <c r="G2445" s="92">
        <v>23876</v>
      </c>
      <c r="H2445" s="90" t="s">
        <v>11</v>
      </c>
      <c r="I24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45" s="90" t="s">
        <v>6337</v>
      </c>
    </row>
    <row r="2446" spans="1:11">
      <c r="A2446" s="90" t="s">
        <v>6336</v>
      </c>
      <c r="B2446" s="90" t="s">
        <v>6337</v>
      </c>
      <c r="C2446" s="90" t="s">
        <v>15</v>
      </c>
      <c r="D2446" s="90" t="str">
        <f>VLOOKUP(Tabela1[[#This Row],[Origem]],'Perguntas 1 a 24'!$J$28:$K$34,2,FALSE)</f>
        <v>Sudeste</v>
      </c>
      <c r="E2446" s="90" t="s">
        <v>13784</v>
      </c>
      <c r="F2446" s="91">
        <v>46952</v>
      </c>
      <c r="G2446" s="92">
        <v>104826</v>
      </c>
      <c r="H2446" s="90" t="s">
        <v>9</v>
      </c>
      <c r="I24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46" s="90" t="s">
        <v>5699</v>
      </c>
    </row>
    <row r="2447" spans="1:11">
      <c r="A2447" s="90" t="s">
        <v>5698</v>
      </c>
      <c r="B2447" s="90" t="s">
        <v>5699</v>
      </c>
      <c r="C2447" s="90" t="s">
        <v>16</v>
      </c>
      <c r="D2447" s="90" t="str">
        <f>VLOOKUP(Tabela1[[#This Row],[Origem]],'Perguntas 1 a 24'!$J$28:$K$34,2,FALSE)</f>
        <v>Sudeste</v>
      </c>
      <c r="E2447" s="90" t="s">
        <v>13785</v>
      </c>
      <c r="F2447" s="91">
        <v>46953</v>
      </c>
      <c r="G2447" s="92">
        <v>118509</v>
      </c>
      <c r="H2447" s="90" t="s">
        <v>9</v>
      </c>
      <c r="I24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47" s="90" t="s">
        <v>7147</v>
      </c>
    </row>
    <row r="2448" spans="1:11">
      <c r="A2448" s="90" t="s">
        <v>7146</v>
      </c>
      <c r="B2448" s="90" t="s">
        <v>7147</v>
      </c>
      <c r="C2448" s="90" t="s">
        <v>15</v>
      </c>
      <c r="D2448" s="90" t="str">
        <f>VLOOKUP(Tabela1[[#This Row],[Origem]],'Perguntas 1 a 24'!$J$28:$K$34,2,FALSE)</f>
        <v>Sudeste</v>
      </c>
      <c r="E2448" s="90" t="s">
        <v>13786</v>
      </c>
      <c r="F2448" s="91">
        <v>46953</v>
      </c>
      <c r="G2448" s="92">
        <v>92331</v>
      </c>
      <c r="H2448" s="90" t="s">
        <v>11</v>
      </c>
      <c r="I24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48" s="90" t="s">
        <v>9824</v>
      </c>
    </row>
    <row r="2449" spans="1:11">
      <c r="A2449" s="90" t="s">
        <v>9823</v>
      </c>
      <c r="B2449" s="90" t="s">
        <v>9824</v>
      </c>
      <c r="C2449" s="90" t="s">
        <v>13</v>
      </c>
      <c r="D2449" s="90" t="str">
        <f>VLOOKUP(Tabela1[[#This Row],[Origem]],'Perguntas 1 a 24'!$J$28:$K$34,2,FALSE)</f>
        <v>Sudeste</v>
      </c>
      <c r="E2449" s="90" t="s">
        <v>13787</v>
      </c>
      <c r="F2449" s="91">
        <v>46953</v>
      </c>
      <c r="G2449" s="92">
        <v>31618</v>
      </c>
      <c r="H2449" s="90" t="s">
        <v>14</v>
      </c>
      <c r="I24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49" s="90" t="s">
        <v>11015</v>
      </c>
    </row>
    <row r="2450" spans="1:11">
      <c r="A2450" s="90" t="s">
        <v>11014</v>
      </c>
      <c r="B2450" s="90" t="s">
        <v>11015</v>
      </c>
      <c r="C2450" s="90" t="s">
        <v>15</v>
      </c>
      <c r="D2450" s="90" t="str">
        <f>VLOOKUP(Tabela1[[#This Row],[Origem]],'Perguntas 1 a 24'!$J$28:$K$34,2,FALSE)</f>
        <v>Sudeste</v>
      </c>
      <c r="E2450" s="90" t="s">
        <v>13788</v>
      </c>
      <c r="F2450" s="91">
        <v>46953</v>
      </c>
      <c r="G2450" s="92">
        <v>76557</v>
      </c>
      <c r="H2450" s="90" t="s">
        <v>7</v>
      </c>
      <c r="I24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0" s="90" t="s">
        <v>5597</v>
      </c>
    </row>
    <row r="2451" spans="1:11">
      <c r="A2451" s="90" t="s">
        <v>5596</v>
      </c>
      <c r="B2451" s="90" t="s">
        <v>5597</v>
      </c>
      <c r="C2451" s="90" t="s">
        <v>8</v>
      </c>
      <c r="D2451" s="90" t="str">
        <f>VLOOKUP(Tabela1[[#This Row],[Origem]],'Perguntas 1 a 24'!$J$28:$K$34,2,FALSE)</f>
        <v>Nordeste</v>
      </c>
      <c r="E2451" s="90" t="s">
        <v>13789</v>
      </c>
      <c r="F2451" s="91">
        <v>46954</v>
      </c>
      <c r="G2451" s="92">
        <v>107771</v>
      </c>
      <c r="H2451" s="90" t="s">
        <v>7</v>
      </c>
      <c r="I24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1" s="90" t="s">
        <v>11328</v>
      </c>
    </row>
    <row r="2452" spans="1:11">
      <c r="A2452" s="90" t="s">
        <v>11327</v>
      </c>
      <c r="B2452" s="90" t="s">
        <v>11328</v>
      </c>
      <c r="C2452" s="90" t="s">
        <v>16</v>
      </c>
      <c r="D2452" s="90" t="str">
        <f>VLOOKUP(Tabela1[[#This Row],[Origem]],'Perguntas 1 a 24'!$J$28:$K$34,2,FALSE)</f>
        <v>Sudeste</v>
      </c>
      <c r="E2452" s="90" t="s">
        <v>13790</v>
      </c>
      <c r="F2452" s="91">
        <v>46954</v>
      </c>
      <c r="G2452" s="92">
        <v>73005</v>
      </c>
      <c r="H2452" s="90" t="s">
        <v>9</v>
      </c>
      <c r="I24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2" s="90" t="s">
        <v>6259</v>
      </c>
    </row>
    <row r="2453" spans="1:11">
      <c r="A2453" s="90" t="s">
        <v>6258</v>
      </c>
      <c r="B2453" s="90" t="s">
        <v>6259</v>
      </c>
      <c r="C2453" s="90" t="s">
        <v>13</v>
      </c>
      <c r="D2453" s="90" t="str">
        <f>VLOOKUP(Tabela1[[#This Row],[Origem]],'Perguntas 1 a 24'!$J$28:$K$34,2,FALSE)</f>
        <v>Sudeste</v>
      </c>
      <c r="E2453" s="90" t="s">
        <v>13791</v>
      </c>
      <c r="F2453" s="91">
        <v>46955</v>
      </c>
      <c r="G2453" s="92">
        <v>68613</v>
      </c>
      <c r="H2453" s="90" t="s">
        <v>11</v>
      </c>
      <c r="I24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3" s="90" t="s">
        <v>6317</v>
      </c>
    </row>
    <row r="2454" spans="1:11">
      <c r="A2454" s="90" t="s">
        <v>6316</v>
      </c>
      <c r="B2454" s="90" t="s">
        <v>6317</v>
      </c>
      <c r="C2454" s="90" t="s">
        <v>15</v>
      </c>
      <c r="D2454" s="90" t="str">
        <f>VLOOKUP(Tabela1[[#This Row],[Origem]],'Perguntas 1 a 24'!$J$28:$K$34,2,FALSE)</f>
        <v>Sudeste</v>
      </c>
      <c r="E2454" s="90" t="s">
        <v>13792</v>
      </c>
      <c r="F2454" s="91">
        <v>46955</v>
      </c>
      <c r="G2454" s="92">
        <v>105467</v>
      </c>
      <c r="H2454" s="90" t="s">
        <v>14</v>
      </c>
      <c r="I24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4" s="90" t="s">
        <v>11065</v>
      </c>
    </row>
    <row r="2455" spans="1:11">
      <c r="A2455" s="90" t="s">
        <v>11064</v>
      </c>
      <c r="B2455" s="90" t="s">
        <v>11065</v>
      </c>
      <c r="C2455" s="90" t="s">
        <v>6</v>
      </c>
      <c r="D2455" s="90" t="str">
        <f>VLOOKUP(Tabela1[[#This Row],[Origem]],'Perguntas 1 a 24'!$J$28:$K$34,2,FALSE)</f>
        <v>Nordeste</v>
      </c>
      <c r="E2455" s="90" t="s">
        <v>13793</v>
      </c>
      <c r="F2455" s="91">
        <v>46955</v>
      </c>
      <c r="G2455" s="92">
        <v>93966</v>
      </c>
      <c r="H2455" s="90" t="s">
        <v>11</v>
      </c>
      <c r="I24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5" s="90" t="s">
        <v>9014</v>
      </c>
    </row>
    <row r="2456" spans="1:11">
      <c r="A2456" s="90" t="s">
        <v>9013</v>
      </c>
      <c r="B2456" s="90" t="s">
        <v>9014</v>
      </c>
      <c r="C2456" s="90" t="s">
        <v>15</v>
      </c>
      <c r="D2456" s="90" t="str">
        <f>VLOOKUP(Tabela1[[#This Row],[Origem]],'Perguntas 1 a 24'!$J$28:$K$34,2,FALSE)</f>
        <v>Sudeste</v>
      </c>
      <c r="E2456" s="90" t="s">
        <v>13794</v>
      </c>
      <c r="F2456" s="91">
        <v>46956</v>
      </c>
      <c r="G2456" s="92">
        <v>33161</v>
      </c>
      <c r="H2456" s="90" t="s">
        <v>14</v>
      </c>
      <c r="I24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56" s="90" t="s">
        <v>9450</v>
      </c>
    </row>
    <row r="2457" spans="1:11">
      <c r="A2457" s="90" t="s">
        <v>9449</v>
      </c>
      <c r="B2457" s="90" t="s">
        <v>9450</v>
      </c>
      <c r="C2457" s="90" t="s">
        <v>16</v>
      </c>
      <c r="D2457" s="90" t="str">
        <f>VLOOKUP(Tabela1[[#This Row],[Origem]],'Perguntas 1 a 24'!$J$28:$K$34,2,FALSE)</f>
        <v>Sudeste</v>
      </c>
      <c r="E2457" s="90" t="s">
        <v>13795</v>
      </c>
      <c r="F2457" s="91">
        <v>46956</v>
      </c>
      <c r="G2457" s="92">
        <v>76859</v>
      </c>
      <c r="H2457" s="90" t="s">
        <v>7</v>
      </c>
      <c r="I24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7" s="90" t="s">
        <v>4823</v>
      </c>
    </row>
    <row r="2458" spans="1:11">
      <c r="A2458" s="90" t="s">
        <v>4822</v>
      </c>
      <c r="B2458" s="90" t="s">
        <v>4823</v>
      </c>
      <c r="C2458" s="90" t="s">
        <v>15</v>
      </c>
      <c r="D2458" s="90" t="str">
        <f>VLOOKUP(Tabela1[[#This Row],[Origem]],'Perguntas 1 a 24'!$J$28:$K$34,2,FALSE)</f>
        <v>Sudeste</v>
      </c>
      <c r="E2458" s="90" t="s">
        <v>13796</v>
      </c>
      <c r="F2458" s="91">
        <v>46957</v>
      </c>
      <c r="G2458" s="92">
        <v>73011</v>
      </c>
      <c r="H2458" s="90" t="s">
        <v>9</v>
      </c>
      <c r="I24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8" s="90" t="s">
        <v>8762</v>
      </c>
    </row>
    <row r="2459" spans="1:11">
      <c r="A2459" s="90" t="s">
        <v>8761</v>
      </c>
      <c r="B2459" s="90" t="s">
        <v>8762</v>
      </c>
      <c r="C2459" s="90" t="s">
        <v>6</v>
      </c>
      <c r="D2459" s="90" t="str">
        <f>VLOOKUP(Tabela1[[#This Row],[Origem]],'Perguntas 1 a 24'!$J$28:$K$34,2,FALSE)</f>
        <v>Nordeste</v>
      </c>
      <c r="E2459" s="90" t="s">
        <v>13797</v>
      </c>
      <c r="F2459" s="91">
        <v>46958</v>
      </c>
      <c r="G2459" s="92">
        <v>89114</v>
      </c>
      <c r="H2459" s="90" t="s">
        <v>14</v>
      </c>
      <c r="I24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59" s="90" t="s">
        <v>8525</v>
      </c>
    </row>
    <row r="2460" spans="1:11">
      <c r="A2460" s="90" t="s">
        <v>8524</v>
      </c>
      <c r="B2460" s="90" t="s">
        <v>8525</v>
      </c>
      <c r="C2460" s="90" t="s">
        <v>10</v>
      </c>
      <c r="D2460" s="90" t="str">
        <f>VLOOKUP(Tabela1[[#This Row],[Origem]],'Perguntas 1 a 24'!$J$28:$K$34,2,FALSE)</f>
        <v>Centro-Oeste</v>
      </c>
      <c r="E2460" s="90" t="s">
        <v>13798</v>
      </c>
      <c r="F2460" s="91">
        <v>46959</v>
      </c>
      <c r="G2460" s="92">
        <v>105149</v>
      </c>
      <c r="H2460" s="90" t="s">
        <v>14</v>
      </c>
      <c r="I24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60" s="90" t="s">
        <v>11274</v>
      </c>
    </row>
    <row r="2461" spans="1:11">
      <c r="A2461" s="90" t="s">
        <v>11273</v>
      </c>
      <c r="B2461" s="90" t="s">
        <v>11274</v>
      </c>
      <c r="C2461" s="90" t="s">
        <v>13</v>
      </c>
      <c r="D2461" s="90" t="str">
        <f>VLOOKUP(Tabela1[[#This Row],[Origem]],'Perguntas 1 a 24'!$J$28:$K$34,2,FALSE)</f>
        <v>Sudeste</v>
      </c>
      <c r="E2461" s="90" t="s">
        <v>13799</v>
      </c>
      <c r="F2461" s="91">
        <v>46959</v>
      </c>
      <c r="G2461" s="92">
        <v>48663</v>
      </c>
      <c r="H2461" s="90" t="s">
        <v>14</v>
      </c>
      <c r="I24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61" s="90" t="s">
        <v>3749</v>
      </c>
    </row>
    <row r="2462" spans="1:11">
      <c r="A2462" s="90" t="s">
        <v>3748</v>
      </c>
      <c r="B2462" s="90" t="s">
        <v>3749</v>
      </c>
      <c r="C2462" s="90" t="s">
        <v>12</v>
      </c>
      <c r="D2462" s="90" t="str">
        <f>VLOOKUP(Tabela1[[#This Row],[Origem]],'Perguntas 1 a 24'!$J$28:$K$34,2,FALSE)</f>
        <v>Sudeste</v>
      </c>
      <c r="E2462" s="90" t="s">
        <v>13800</v>
      </c>
      <c r="F2462" s="91">
        <v>46960</v>
      </c>
      <c r="G2462" s="92">
        <v>71919</v>
      </c>
      <c r="H2462" s="90" t="s">
        <v>7</v>
      </c>
      <c r="I24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62" s="90" t="s">
        <v>8411</v>
      </c>
    </row>
    <row r="2463" spans="1:11">
      <c r="A2463" s="90" t="s">
        <v>8410</v>
      </c>
      <c r="B2463" s="90" t="s">
        <v>8411</v>
      </c>
      <c r="C2463" s="90" t="s">
        <v>15</v>
      </c>
      <c r="D2463" s="90" t="str">
        <f>VLOOKUP(Tabela1[[#This Row],[Origem]],'Perguntas 1 a 24'!$J$28:$K$34,2,FALSE)</f>
        <v>Sudeste</v>
      </c>
      <c r="E2463" s="90" t="s">
        <v>13801</v>
      </c>
      <c r="F2463" s="91">
        <v>46960</v>
      </c>
      <c r="G2463" s="92">
        <v>104870</v>
      </c>
      <c r="H2463" s="90" t="s">
        <v>9</v>
      </c>
      <c r="I24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63" s="90" t="s">
        <v>5465</v>
      </c>
    </row>
    <row r="2464" spans="1:11">
      <c r="A2464" s="90" t="s">
        <v>5464</v>
      </c>
      <c r="B2464" s="90" t="s">
        <v>5465</v>
      </c>
      <c r="C2464" s="90" t="s">
        <v>12</v>
      </c>
      <c r="D2464" s="90" t="str">
        <f>VLOOKUP(Tabela1[[#This Row],[Origem]],'Perguntas 1 a 24'!$J$28:$K$34,2,FALSE)</f>
        <v>Sudeste</v>
      </c>
      <c r="E2464" s="90" t="s">
        <v>13802</v>
      </c>
      <c r="F2464" s="91">
        <v>46961</v>
      </c>
      <c r="G2464" s="92">
        <v>86672</v>
      </c>
      <c r="H2464" s="90" t="s">
        <v>7</v>
      </c>
      <c r="I24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64" s="90" t="s">
        <v>9596</v>
      </c>
    </row>
    <row r="2465" spans="1:11">
      <c r="A2465" s="90" t="s">
        <v>9595</v>
      </c>
      <c r="B2465" s="90" t="s">
        <v>9596</v>
      </c>
      <c r="C2465" s="90" t="s">
        <v>10</v>
      </c>
      <c r="D2465" s="90" t="str">
        <f>VLOOKUP(Tabela1[[#This Row],[Origem]],'Perguntas 1 a 24'!$J$28:$K$34,2,FALSE)</f>
        <v>Centro-Oeste</v>
      </c>
      <c r="E2465" s="90" t="s">
        <v>13803</v>
      </c>
      <c r="F2465" s="91">
        <v>46961</v>
      </c>
      <c r="G2465" s="92">
        <v>115479</v>
      </c>
      <c r="H2465" s="90" t="s">
        <v>11</v>
      </c>
      <c r="I24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65" s="90" t="s">
        <v>4973</v>
      </c>
    </row>
    <row r="2466" spans="1:11">
      <c r="A2466" s="90" t="s">
        <v>4972</v>
      </c>
      <c r="B2466" s="90" t="s">
        <v>4973</v>
      </c>
      <c r="C2466" s="90" t="s">
        <v>6</v>
      </c>
      <c r="D2466" s="90" t="str">
        <f>VLOOKUP(Tabela1[[#This Row],[Origem]],'Perguntas 1 a 24'!$J$28:$K$34,2,FALSE)</f>
        <v>Nordeste</v>
      </c>
      <c r="E2466" s="90" t="s">
        <v>13804</v>
      </c>
      <c r="F2466" s="91">
        <v>46962</v>
      </c>
      <c r="G2466" s="92">
        <v>41397</v>
      </c>
      <c r="H2466" s="90" t="s">
        <v>7</v>
      </c>
      <c r="I24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66" s="90" t="s">
        <v>8940</v>
      </c>
    </row>
    <row r="2467" spans="1:11">
      <c r="A2467" s="90" t="s">
        <v>8939</v>
      </c>
      <c r="B2467" s="90" t="s">
        <v>8940</v>
      </c>
      <c r="C2467" s="90" t="s">
        <v>15</v>
      </c>
      <c r="D2467" s="90" t="str">
        <f>VLOOKUP(Tabela1[[#This Row],[Origem]],'Perguntas 1 a 24'!$J$28:$K$34,2,FALSE)</f>
        <v>Sudeste</v>
      </c>
      <c r="E2467" s="90" t="s">
        <v>13805</v>
      </c>
      <c r="F2467" s="91">
        <v>46962</v>
      </c>
      <c r="G2467" s="92">
        <v>40955</v>
      </c>
      <c r="H2467" s="90" t="s">
        <v>14</v>
      </c>
      <c r="I24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67" s="90" t="s">
        <v>7687</v>
      </c>
    </row>
    <row r="2468" spans="1:11">
      <c r="A2468" s="90" t="s">
        <v>7686</v>
      </c>
      <c r="B2468" s="90" t="s">
        <v>7687</v>
      </c>
      <c r="C2468" s="90" t="s">
        <v>16</v>
      </c>
      <c r="D2468" s="90" t="str">
        <f>VLOOKUP(Tabela1[[#This Row],[Origem]],'Perguntas 1 a 24'!$J$28:$K$34,2,FALSE)</f>
        <v>Sudeste</v>
      </c>
      <c r="E2468" s="90" t="s">
        <v>13806</v>
      </c>
      <c r="F2468" s="91">
        <v>46963</v>
      </c>
      <c r="G2468" s="92">
        <v>79173</v>
      </c>
      <c r="H2468" s="90" t="s">
        <v>14</v>
      </c>
      <c r="I24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68" s="90" t="s">
        <v>10688</v>
      </c>
    </row>
    <row r="2469" spans="1:11">
      <c r="A2469" s="90" t="s">
        <v>10687</v>
      </c>
      <c r="B2469" s="90" t="s">
        <v>10688</v>
      </c>
      <c r="C2469" s="90" t="s">
        <v>15</v>
      </c>
      <c r="D2469" s="90" t="str">
        <f>VLOOKUP(Tabela1[[#This Row],[Origem]],'Perguntas 1 a 24'!$J$28:$K$34,2,FALSE)</f>
        <v>Sudeste</v>
      </c>
      <c r="E2469" s="90" t="s">
        <v>13807</v>
      </c>
      <c r="F2469" s="91">
        <v>46963</v>
      </c>
      <c r="G2469" s="92">
        <v>108082</v>
      </c>
      <c r="H2469" s="90" t="s">
        <v>11</v>
      </c>
      <c r="I24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69" s="90" t="s">
        <v>7025</v>
      </c>
    </row>
    <row r="2470" spans="1:11">
      <c r="A2470" s="90" t="s">
        <v>7024</v>
      </c>
      <c r="B2470" s="90" t="s">
        <v>7025</v>
      </c>
      <c r="C2470" s="90" t="s">
        <v>8</v>
      </c>
      <c r="D2470" s="90" t="str">
        <f>VLOOKUP(Tabela1[[#This Row],[Origem]],'Perguntas 1 a 24'!$J$28:$K$34,2,FALSE)</f>
        <v>Nordeste</v>
      </c>
      <c r="E2470" s="90" t="s">
        <v>13808</v>
      </c>
      <c r="F2470" s="91">
        <v>46965</v>
      </c>
      <c r="G2470" s="92">
        <v>25607</v>
      </c>
      <c r="H2470" s="90" t="s">
        <v>9</v>
      </c>
      <c r="I24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70" s="90" t="s">
        <v>4404</v>
      </c>
    </row>
    <row r="2471" spans="1:11">
      <c r="A2471" s="90" t="s">
        <v>4403</v>
      </c>
      <c r="B2471" s="90" t="s">
        <v>4404</v>
      </c>
      <c r="C2471" s="90" t="s">
        <v>16</v>
      </c>
      <c r="D2471" s="90" t="str">
        <f>VLOOKUP(Tabela1[[#This Row],[Origem]],'Perguntas 1 a 24'!$J$28:$K$34,2,FALSE)</f>
        <v>Sudeste</v>
      </c>
      <c r="E2471" s="90" t="s">
        <v>13809</v>
      </c>
      <c r="F2471" s="91">
        <v>46968</v>
      </c>
      <c r="G2471" s="92">
        <v>82801</v>
      </c>
      <c r="H2471" s="90" t="s">
        <v>7</v>
      </c>
      <c r="I24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71" s="90" t="s">
        <v>7651</v>
      </c>
    </row>
    <row r="2472" spans="1:11">
      <c r="A2472" s="90" t="s">
        <v>7650</v>
      </c>
      <c r="B2472" s="90" t="s">
        <v>7651</v>
      </c>
      <c r="C2472" s="90" t="s">
        <v>16</v>
      </c>
      <c r="D2472" s="90" t="str">
        <f>VLOOKUP(Tabela1[[#This Row],[Origem]],'Perguntas 1 a 24'!$J$28:$K$34,2,FALSE)</f>
        <v>Sudeste</v>
      </c>
      <c r="E2472" s="90" t="s">
        <v>13810</v>
      </c>
      <c r="F2472" s="91">
        <v>46969</v>
      </c>
      <c r="G2472" s="92">
        <v>55231</v>
      </c>
      <c r="H2472" s="90" t="s">
        <v>7</v>
      </c>
      <c r="I24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72" s="90" t="s">
        <v>7075</v>
      </c>
    </row>
    <row r="2473" spans="1:11">
      <c r="A2473" s="90" t="s">
        <v>7074</v>
      </c>
      <c r="B2473" s="90" t="s">
        <v>7075</v>
      </c>
      <c r="C2473" s="90" t="s">
        <v>13</v>
      </c>
      <c r="D2473" s="90" t="str">
        <f>VLOOKUP(Tabela1[[#This Row],[Origem]],'Perguntas 1 a 24'!$J$28:$K$34,2,FALSE)</f>
        <v>Sudeste</v>
      </c>
      <c r="E2473" s="90" t="s">
        <v>13811</v>
      </c>
      <c r="F2473" s="91">
        <v>46970</v>
      </c>
      <c r="G2473" s="92">
        <v>112653</v>
      </c>
      <c r="H2473" s="90" t="s">
        <v>11</v>
      </c>
      <c r="I24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73" s="90" t="s">
        <v>6047</v>
      </c>
    </row>
    <row r="2474" spans="1:11">
      <c r="A2474" s="90" t="s">
        <v>6046</v>
      </c>
      <c r="B2474" s="90" t="s">
        <v>6047</v>
      </c>
      <c r="C2474" s="90" t="s">
        <v>13</v>
      </c>
      <c r="D2474" s="90" t="str">
        <f>VLOOKUP(Tabela1[[#This Row],[Origem]],'Perguntas 1 a 24'!$J$28:$K$34,2,FALSE)</f>
        <v>Sudeste</v>
      </c>
      <c r="E2474" s="90" t="s">
        <v>13812</v>
      </c>
      <c r="F2474" s="91">
        <v>46971</v>
      </c>
      <c r="G2474" s="92">
        <v>37838</v>
      </c>
      <c r="H2474" s="90" t="s">
        <v>9</v>
      </c>
      <c r="I24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74" s="90" t="s">
        <v>4438</v>
      </c>
    </row>
    <row r="2475" spans="1:11">
      <c r="A2475" s="90" t="s">
        <v>4437</v>
      </c>
      <c r="B2475" s="90" t="s">
        <v>4438</v>
      </c>
      <c r="C2475" s="90" t="s">
        <v>15</v>
      </c>
      <c r="D2475" s="90" t="str">
        <f>VLOOKUP(Tabela1[[#This Row],[Origem]],'Perguntas 1 a 24'!$J$28:$K$34,2,FALSE)</f>
        <v>Sudeste</v>
      </c>
      <c r="E2475" s="90" t="s">
        <v>13813</v>
      </c>
      <c r="F2475" s="91">
        <v>46973</v>
      </c>
      <c r="G2475" s="92">
        <v>96721</v>
      </c>
      <c r="H2475" s="90" t="s">
        <v>11</v>
      </c>
      <c r="I24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75" s="90" t="s">
        <v>6161</v>
      </c>
    </row>
    <row r="2476" spans="1:11">
      <c r="A2476" s="90" t="s">
        <v>6160</v>
      </c>
      <c r="B2476" s="90" t="s">
        <v>6161</v>
      </c>
      <c r="C2476" s="90" t="s">
        <v>6</v>
      </c>
      <c r="D2476" s="90" t="str">
        <f>VLOOKUP(Tabela1[[#This Row],[Origem]],'Perguntas 1 a 24'!$J$28:$K$34,2,FALSE)</f>
        <v>Nordeste</v>
      </c>
      <c r="E2476" s="90" t="s">
        <v>13814</v>
      </c>
      <c r="F2476" s="91">
        <v>46973</v>
      </c>
      <c r="G2476" s="92">
        <v>59338</v>
      </c>
      <c r="H2476" s="90" t="s">
        <v>7</v>
      </c>
      <c r="I24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76" s="90" t="s">
        <v>10710</v>
      </c>
    </row>
    <row r="2477" spans="1:11">
      <c r="A2477" s="90" t="s">
        <v>10709</v>
      </c>
      <c r="B2477" s="90" t="s">
        <v>10710</v>
      </c>
      <c r="C2477" s="90" t="s">
        <v>15</v>
      </c>
      <c r="D2477" s="90" t="str">
        <f>VLOOKUP(Tabela1[[#This Row],[Origem]],'Perguntas 1 a 24'!$J$28:$K$34,2,FALSE)</f>
        <v>Sudeste</v>
      </c>
      <c r="E2477" s="90" t="s">
        <v>13815</v>
      </c>
      <c r="F2477" s="91">
        <v>46973</v>
      </c>
      <c r="G2477" s="92">
        <v>35777</v>
      </c>
      <c r="H2477" s="90" t="s">
        <v>11</v>
      </c>
      <c r="I24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77" s="90" t="s">
        <v>3831</v>
      </c>
    </row>
    <row r="2478" spans="1:11">
      <c r="A2478" s="90" t="s">
        <v>3830</v>
      </c>
      <c r="B2478" s="90" t="s">
        <v>3831</v>
      </c>
      <c r="C2478" s="90" t="s">
        <v>8</v>
      </c>
      <c r="D2478" s="90" t="str">
        <f>VLOOKUP(Tabela1[[#This Row],[Origem]],'Perguntas 1 a 24'!$J$28:$K$34,2,FALSE)</f>
        <v>Nordeste</v>
      </c>
      <c r="E2478" s="90" t="s">
        <v>13816</v>
      </c>
      <c r="F2478" s="91">
        <v>46975</v>
      </c>
      <c r="G2478" s="92">
        <v>49882</v>
      </c>
      <c r="H2478" s="90" t="s">
        <v>7</v>
      </c>
      <c r="I24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78" s="90" t="s">
        <v>5735</v>
      </c>
    </row>
    <row r="2479" spans="1:11">
      <c r="A2479" s="90" t="s">
        <v>5734</v>
      </c>
      <c r="B2479" s="90" t="s">
        <v>5735</v>
      </c>
      <c r="C2479" s="90" t="s">
        <v>8</v>
      </c>
      <c r="D2479" s="90" t="str">
        <f>VLOOKUP(Tabela1[[#This Row],[Origem]],'Perguntas 1 a 24'!$J$28:$K$34,2,FALSE)</f>
        <v>Nordeste</v>
      </c>
      <c r="E2479" s="90" t="s">
        <v>13817</v>
      </c>
      <c r="F2479" s="91">
        <v>46975</v>
      </c>
      <c r="G2479" s="92">
        <v>31954</v>
      </c>
      <c r="H2479" s="90" t="s">
        <v>11</v>
      </c>
      <c r="I24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79" s="90" t="s">
        <v>8439</v>
      </c>
    </row>
    <row r="2480" spans="1:11">
      <c r="A2480" s="90" t="s">
        <v>8438</v>
      </c>
      <c r="B2480" s="90" t="s">
        <v>8439</v>
      </c>
      <c r="C2480" s="90" t="s">
        <v>8</v>
      </c>
      <c r="D2480" s="90" t="str">
        <f>VLOOKUP(Tabela1[[#This Row],[Origem]],'Perguntas 1 a 24'!$J$28:$K$34,2,FALSE)</f>
        <v>Nordeste</v>
      </c>
      <c r="E2480" s="90" t="s">
        <v>13818</v>
      </c>
      <c r="F2480" s="91">
        <v>46975</v>
      </c>
      <c r="G2480" s="92">
        <v>47386</v>
      </c>
      <c r="H2480" s="90" t="s">
        <v>11</v>
      </c>
      <c r="I24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80" s="90" t="s">
        <v>5089</v>
      </c>
    </row>
    <row r="2481" spans="1:11">
      <c r="A2481" s="90" t="s">
        <v>5088</v>
      </c>
      <c r="B2481" s="90" t="s">
        <v>5089</v>
      </c>
      <c r="C2481" s="90" t="s">
        <v>8</v>
      </c>
      <c r="D2481" s="90" t="str">
        <f>VLOOKUP(Tabela1[[#This Row],[Origem]],'Perguntas 1 a 24'!$J$28:$K$34,2,FALSE)</f>
        <v>Nordeste</v>
      </c>
      <c r="E2481" s="90" t="s">
        <v>13819</v>
      </c>
      <c r="F2481" s="91">
        <v>46976</v>
      </c>
      <c r="G2481" s="92">
        <v>35789</v>
      </c>
      <c r="H2481" s="90" t="s">
        <v>7</v>
      </c>
      <c r="I24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81" s="90" t="s">
        <v>4091</v>
      </c>
    </row>
    <row r="2482" spans="1:11">
      <c r="A2482" s="90" t="s">
        <v>4090</v>
      </c>
      <c r="B2482" s="90" t="s">
        <v>4091</v>
      </c>
      <c r="C2482" s="90" t="s">
        <v>6</v>
      </c>
      <c r="D2482" s="90" t="str">
        <f>VLOOKUP(Tabela1[[#This Row],[Origem]],'Perguntas 1 a 24'!$J$28:$K$34,2,FALSE)</f>
        <v>Nordeste</v>
      </c>
      <c r="E2482" s="90" t="s">
        <v>13820</v>
      </c>
      <c r="F2482" s="91">
        <v>46977</v>
      </c>
      <c r="G2482" s="92">
        <v>55179</v>
      </c>
      <c r="H2482" s="90" t="s">
        <v>11</v>
      </c>
      <c r="I24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82" s="90" t="s">
        <v>4392</v>
      </c>
    </row>
    <row r="2483" spans="1:11">
      <c r="A2483" s="90" t="s">
        <v>4391</v>
      </c>
      <c r="B2483" s="90" t="s">
        <v>4392</v>
      </c>
      <c r="C2483" s="90" t="s">
        <v>13</v>
      </c>
      <c r="D2483" s="90" t="str">
        <f>VLOOKUP(Tabela1[[#This Row],[Origem]],'Perguntas 1 a 24'!$J$28:$K$34,2,FALSE)</f>
        <v>Sudeste</v>
      </c>
      <c r="E2483" s="90" t="s">
        <v>13821</v>
      </c>
      <c r="F2483" s="91">
        <v>46977</v>
      </c>
      <c r="G2483" s="92">
        <v>78127</v>
      </c>
      <c r="H2483" s="90" t="s">
        <v>11</v>
      </c>
      <c r="I24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83" s="90" t="s">
        <v>5251</v>
      </c>
    </row>
    <row r="2484" spans="1:11">
      <c r="A2484" s="90" t="s">
        <v>5250</v>
      </c>
      <c r="B2484" s="90" t="s">
        <v>5251</v>
      </c>
      <c r="C2484" s="90" t="s">
        <v>8</v>
      </c>
      <c r="D2484" s="90" t="str">
        <f>VLOOKUP(Tabela1[[#This Row],[Origem]],'Perguntas 1 a 24'!$J$28:$K$34,2,FALSE)</f>
        <v>Nordeste</v>
      </c>
      <c r="E2484" s="90" t="s">
        <v>13822</v>
      </c>
      <c r="F2484" s="91">
        <v>46977</v>
      </c>
      <c r="G2484" s="92">
        <v>32100</v>
      </c>
      <c r="H2484" s="90" t="s">
        <v>7</v>
      </c>
      <c r="I24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84" s="90" t="s">
        <v>8980</v>
      </c>
    </row>
    <row r="2485" spans="1:11">
      <c r="A2485" s="90" t="s">
        <v>8979</v>
      </c>
      <c r="B2485" s="90" t="s">
        <v>8980</v>
      </c>
      <c r="C2485" s="90" t="s">
        <v>10</v>
      </c>
      <c r="D2485" s="90" t="str">
        <f>VLOOKUP(Tabela1[[#This Row],[Origem]],'Perguntas 1 a 24'!$J$28:$K$34,2,FALSE)</f>
        <v>Centro-Oeste</v>
      </c>
      <c r="E2485" s="90" t="s">
        <v>13823</v>
      </c>
      <c r="F2485" s="91">
        <v>46977</v>
      </c>
      <c r="G2485" s="92">
        <v>77348</v>
      </c>
      <c r="H2485" s="90" t="s">
        <v>14</v>
      </c>
      <c r="I24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85" s="90" t="s">
        <v>7047</v>
      </c>
    </row>
    <row r="2486" spans="1:11">
      <c r="A2486" s="90" t="s">
        <v>7046</v>
      </c>
      <c r="B2486" s="90" t="s">
        <v>7047</v>
      </c>
      <c r="C2486" s="90" t="s">
        <v>15</v>
      </c>
      <c r="D2486" s="90" t="str">
        <f>VLOOKUP(Tabela1[[#This Row],[Origem]],'Perguntas 1 a 24'!$J$28:$K$34,2,FALSE)</f>
        <v>Sudeste</v>
      </c>
      <c r="E2486" s="90" t="s">
        <v>13824</v>
      </c>
      <c r="F2486" s="91">
        <v>46978</v>
      </c>
      <c r="G2486" s="92">
        <v>89726</v>
      </c>
      <c r="H2486" s="90" t="s">
        <v>7</v>
      </c>
      <c r="I24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86" s="90" t="s">
        <v>5605</v>
      </c>
    </row>
    <row r="2487" spans="1:11">
      <c r="A2487" s="90" t="s">
        <v>5604</v>
      </c>
      <c r="B2487" s="90" t="s">
        <v>5605</v>
      </c>
      <c r="C2487" s="90" t="s">
        <v>10</v>
      </c>
      <c r="D2487" s="90" t="str">
        <f>VLOOKUP(Tabela1[[#This Row],[Origem]],'Perguntas 1 a 24'!$J$28:$K$34,2,FALSE)</f>
        <v>Centro-Oeste</v>
      </c>
      <c r="E2487" s="90" t="s">
        <v>13825</v>
      </c>
      <c r="F2487" s="91">
        <v>46981</v>
      </c>
      <c r="G2487" s="92">
        <v>55582</v>
      </c>
      <c r="H2487" s="90" t="s">
        <v>14</v>
      </c>
      <c r="I24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87" s="90" t="s">
        <v>6171</v>
      </c>
    </row>
    <row r="2488" spans="1:11">
      <c r="A2488" s="90" t="s">
        <v>6170</v>
      </c>
      <c r="B2488" s="90" t="s">
        <v>6171</v>
      </c>
      <c r="C2488" s="90" t="s">
        <v>16</v>
      </c>
      <c r="D2488" s="90" t="str">
        <f>VLOOKUP(Tabela1[[#This Row],[Origem]],'Perguntas 1 a 24'!$J$28:$K$34,2,FALSE)</f>
        <v>Sudeste</v>
      </c>
      <c r="E2488" s="90" t="s">
        <v>13826</v>
      </c>
      <c r="F2488" s="91">
        <v>46981</v>
      </c>
      <c r="G2488" s="92">
        <v>35585</v>
      </c>
      <c r="H2488" s="90" t="s">
        <v>9</v>
      </c>
      <c r="I24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88" s="90" t="s">
        <v>7281</v>
      </c>
    </row>
    <row r="2489" spans="1:11">
      <c r="A2489" s="90" t="s">
        <v>7280</v>
      </c>
      <c r="B2489" s="90" t="s">
        <v>7281</v>
      </c>
      <c r="C2489" s="90" t="s">
        <v>15</v>
      </c>
      <c r="D2489" s="90" t="str">
        <f>VLOOKUP(Tabela1[[#This Row],[Origem]],'Perguntas 1 a 24'!$J$28:$K$34,2,FALSE)</f>
        <v>Sudeste</v>
      </c>
      <c r="E2489" s="90" t="s">
        <v>13827</v>
      </c>
      <c r="F2489" s="91">
        <v>46981</v>
      </c>
      <c r="G2489" s="92">
        <v>103723</v>
      </c>
      <c r="H2489" s="90" t="s">
        <v>11</v>
      </c>
      <c r="I24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89" s="90" t="s">
        <v>8682</v>
      </c>
    </row>
    <row r="2490" spans="1:11">
      <c r="A2490" s="90" t="s">
        <v>8681</v>
      </c>
      <c r="B2490" s="90" t="s">
        <v>8682</v>
      </c>
      <c r="C2490" s="90" t="s">
        <v>10</v>
      </c>
      <c r="D2490" s="90" t="str">
        <f>VLOOKUP(Tabela1[[#This Row],[Origem]],'Perguntas 1 a 24'!$J$28:$K$34,2,FALSE)</f>
        <v>Centro-Oeste</v>
      </c>
      <c r="E2490" s="90" t="s">
        <v>13828</v>
      </c>
      <c r="F2490" s="91">
        <v>46982</v>
      </c>
      <c r="G2490" s="92">
        <v>91919</v>
      </c>
      <c r="H2490" s="90" t="s">
        <v>7</v>
      </c>
      <c r="I24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90" s="90" t="s">
        <v>4013</v>
      </c>
    </row>
    <row r="2491" spans="1:11">
      <c r="A2491" s="90" t="s">
        <v>4012</v>
      </c>
      <c r="B2491" s="90" t="s">
        <v>4013</v>
      </c>
      <c r="C2491" s="90" t="s">
        <v>8</v>
      </c>
      <c r="D2491" s="90" t="str">
        <f>VLOOKUP(Tabela1[[#This Row],[Origem]],'Perguntas 1 a 24'!$J$28:$K$34,2,FALSE)</f>
        <v>Nordeste</v>
      </c>
      <c r="E2491" s="90" t="s">
        <v>13829</v>
      </c>
      <c r="F2491" s="91">
        <v>46984</v>
      </c>
      <c r="G2491" s="92">
        <v>30898</v>
      </c>
      <c r="H2491" s="90" t="s">
        <v>14</v>
      </c>
      <c r="I24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91" s="90" t="s">
        <v>6729</v>
      </c>
    </row>
    <row r="2492" spans="1:11">
      <c r="A2492" s="90" t="s">
        <v>6728</v>
      </c>
      <c r="B2492" s="90" t="s">
        <v>6729</v>
      </c>
      <c r="C2492" s="90" t="s">
        <v>8</v>
      </c>
      <c r="D2492" s="90" t="str">
        <f>VLOOKUP(Tabela1[[#This Row],[Origem]],'Perguntas 1 a 24'!$J$28:$K$34,2,FALSE)</f>
        <v>Nordeste</v>
      </c>
      <c r="E2492" s="90" t="s">
        <v>13830</v>
      </c>
      <c r="F2492" s="91">
        <v>46984</v>
      </c>
      <c r="G2492" s="92">
        <v>79139</v>
      </c>
      <c r="H2492" s="90" t="s">
        <v>11</v>
      </c>
      <c r="I24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92" s="90" t="s">
        <v>11019</v>
      </c>
    </row>
    <row r="2493" spans="1:11">
      <c r="A2493" s="90" t="s">
        <v>11018</v>
      </c>
      <c r="B2493" s="90" t="s">
        <v>11019</v>
      </c>
      <c r="C2493" s="90" t="s">
        <v>15</v>
      </c>
      <c r="D2493" s="90" t="str">
        <f>VLOOKUP(Tabela1[[#This Row],[Origem]],'Perguntas 1 a 24'!$J$28:$K$34,2,FALSE)</f>
        <v>Sudeste</v>
      </c>
      <c r="E2493" s="90" t="s">
        <v>13831</v>
      </c>
      <c r="F2493" s="91">
        <v>46984</v>
      </c>
      <c r="G2493" s="92">
        <v>92131</v>
      </c>
      <c r="H2493" s="90" t="s">
        <v>7</v>
      </c>
      <c r="I24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93" s="90" t="s">
        <v>5021</v>
      </c>
    </row>
    <row r="2494" spans="1:11">
      <c r="A2494" s="90" t="s">
        <v>5020</v>
      </c>
      <c r="B2494" s="90" t="s">
        <v>5021</v>
      </c>
      <c r="C2494" s="90" t="s">
        <v>15</v>
      </c>
      <c r="D2494" s="90" t="str">
        <f>VLOOKUP(Tabela1[[#This Row],[Origem]],'Perguntas 1 a 24'!$J$28:$K$34,2,FALSE)</f>
        <v>Sudeste</v>
      </c>
      <c r="E2494" s="90" t="s">
        <v>13832</v>
      </c>
      <c r="F2494" s="91">
        <v>46985</v>
      </c>
      <c r="G2494" s="92">
        <v>93267</v>
      </c>
      <c r="H2494" s="90" t="s">
        <v>14</v>
      </c>
      <c r="I24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94" s="90" t="s">
        <v>5031</v>
      </c>
    </row>
    <row r="2495" spans="1:11">
      <c r="A2495" s="90" t="s">
        <v>5030</v>
      </c>
      <c r="B2495" s="90" t="s">
        <v>5031</v>
      </c>
      <c r="C2495" s="90" t="s">
        <v>10</v>
      </c>
      <c r="D2495" s="90" t="str">
        <f>VLOOKUP(Tabela1[[#This Row],[Origem]],'Perguntas 1 a 24'!$J$28:$K$34,2,FALSE)</f>
        <v>Centro-Oeste</v>
      </c>
      <c r="E2495" s="90" t="s">
        <v>13833</v>
      </c>
      <c r="F2495" s="91">
        <v>46985</v>
      </c>
      <c r="G2495" s="92">
        <v>38771</v>
      </c>
      <c r="H2495" s="90" t="s">
        <v>11</v>
      </c>
      <c r="I24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95" s="90" t="s">
        <v>5193</v>
      </c>
    </row>
    <row r="2496" spans="1:11">
      <c r="A2496" s="90" t="s">
        <v>5192</v>
      </c>
      <c r="B2496" s="90" t="s">
        <v>5193</v>
      </c>
      <c r="C2496" s="90" t="s">
        <v>13</v>
      </c>
      <c r="D2496" s="90" t="str">
        <f>VLOOKUP(Tabela1[[#This Row],[Origem]],'Perguntas 1 a 24'!$J$28:$K$34,2,FALSE)</f>
        <v>Sudeste</v>
      </c>
      <c r="E2496" s="90" t="s">
        <v>13834</v>
      </c>
      <c r="F2496" s="91">
        <v>46985</v>
      </c>
      <c r="G2496" s="92">
        <v>84059</v>
      </c>
      <c r="H2496" s="90" t="s">
        <v>7</v>
      </c>
      <c r="I24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96" s="90" t="s">
        <v>10852</v>
      </c>
    </row>
    <row r="2497" spans="1:11">
      <c r="A2497" s="90" t="s">
        <v>10851</v>
      </c>
      <c r="B2497" s="90" t="s">
        <v>10852</v>
      </c>
      <c r="C2497" s="90" t="s">
        <v>8</v>
      </c>
      <c r="D2497" s="90" t="str">
        <f>VLOOKUP(Tabela1[[#This Row],[Origem]],'Perguntas 1 a 24'!$J$28:$K$34,2,FALSE)</f>
        <v>Nordeste</v>
      </c>
      <c r="E2497" s="90" t="s">
        <v>13835</v>
      </c>
      <c r="F2497" s="91">
        <v>46986</v>
      </c>
      <c r="G2497" s="92">
        <v>89673</v>
      </c>
      <c r="H2497" s="90" t="s">
        <v>14</v>
      </c>
      <c r="I24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497" s="90" t="s">
        <v>10942</v>
      </c>
    </row>
    <row r="2498" spans="1:11">
      <c r="A2498" s="90" t="s">
        <v>10941</v>
      </c>
      <c r="B2498" s="90" t="s">
        <v>10942</v>
      </c>
      <c r="C2498" s="90" t="s">
        <v>12</v>
      </c>
      <c r="D2498" s="90" t="str">
        <f>VLOOKUP(Tabela1[[#This Row],[Origem]],'Perguntas 1 a 24'!$J$28:$K$34,2,FALSE)</f>
        <v>Sudeste</v>
      </c>
      <c r="E2498" s="90" t="s">
        <v>13836</v>
      </c>
      <c r="F2498" s="91">
        <v>46986</v>
      </c>
      <c r="G2498" s="92">
        <v>47579</v>
      </c>
      <c r="H2498" s="90" t="s">
        <v>14</v>
      </c>
      <c r="I24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98" s="90" t="s">
        <v>5721</v>
      </c>
    </row>
    <row r="2499" spans="1:11">
      <c r="A2499" s="90" t="s">
        <v>5720</v>
      </c>
      <c r="B2499" s="90" t="s">
        <v>5721</v>
      </c>
      <c r="C2499" s="90" t="s">
        <v>6</v>
      </c>
      <c r="D2499" s="90" t="str">
        <f>VLOOKUP(Tabela1[[#This Row],[Origem]],'Perguntas 1 a 24'!$J$28:$K$34,2,FALSE)</f>
        <v>Nordeste</v>
      </c>
      <c r="E2499" s="90" t="s">
        <v>13837</v>
      </c>
      <c r="F2499" s="91">
        <v>46988</v>
      </c>
      <c r="G2499" s="92">
        <v>37711</v>
      </c>
      <c r="H2499" s="90" t="s">
        <v>11</v>
      </c>
      <c r="I24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499" s="90" t="s">
        <v>7829</v>
      </c>
    </row>
    <row r="2500" spans="1:11">
      <c r="A2500" s="90" t="s">
        <v>7828</v>
      </c>
      <c r="B2500" s="90" t="s">
        <v>7829</v>
      </c>
      <c r="C2500" s="90" t="s">
        <v>8</v>
      </c>
      <c r="D2500" s="90" t="str">
        <f>VLOOKUP(Tabela1[[#This Row],[Origem]],'Perguntas 1 a 24'!$J$28:$K$34,2,FALSE)</f>
        <v>Nordeste</v>
      </c>
      <c r="E2500" s="90" t="s">
        <v>13838</v>
      </c>
      <c r="F2500" s="91">
        <v>46988</v>
      </c>
      <c r="G2500" s="92">
        <v>115984</v>
      </c>
      <c r="H2500" s="90" t="s">
        <v>7</v>
      </c>
      <c r="I25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00" s="90" t="s">
        <v>5011</v>
      </c>
    </row>
    <row r="2501" spans="1:11">
      <c r="A2501" s="90" t="s">
        <v>5010</v>
      </c>
      <c r="B2501" s="90" t="s">
        <v>5011</v>
      </c>
      <c r="C2501" s="90" t="s">
        <v>10</v>
      </c>
      <c r="D2501" s="90" t="str">
        <f>VLOOKUP(Tabela1[[#This Row],[Origem]],'Perguntas 1 a 24'!$J$28:$K$34,2,FALSE)</f>
        <v>Centro-Oeste</v>
      </c>
      <c r="E2501" s="90" t="s">
        <v>13839</v>
      </c>
      <c r="F2501" s="91">
        <v>46989</v>
      </c>
      <c r="G2501" s="92">
        <v>31702</v>
      </c>
      <c r="H2501" s="90" t="s">
        <v>7</v>
      </c>
      <c r="I25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01" s="90" t="s">
        <v>3859</v>
      </c>
    </row>
    <row r="2502" spans="1:11">
      <c r="A2502" s="90" t="s">
        <v>3858</v>
      </c>
      <c r="B2502" s="90" t="s">
        <v>3859</v>
      </c>
      <c r="C2502" s="90" t="s">
        <v>12</v>
      </c>
      <c r="D2502" s="90" t="str">
        <f>VLOOKUP(Tabela1[[#This Row],[Origem]],'Perguntas 1 a 24'!$J$28:$K$34,2,FALSE)</f>
        <v>Sudeste</v>
      </c>
      <c r="E2502" s="90" t="s">
        <v>13840</v>
      </c>
      <c r="F2502" s="91">
        <v>46990</v>
      </c>
      <c r="G2502" s="92">
        <v>114518</v>
      </c>
      <c r="H2502" s="90" t="s">
        <v>14</v>
      </c>
      <c r="I25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02" s="90" t="s">
        <v>8431</v>
      </c>
    </row>
    <row r="2503" spans="1:11">
      <c r="A2503" s="90" t="s">
        <v>8430</v>
      </c>
      <c r="B2503" s="90" t="s">
        <v>8431</v>
      </c>
      <c r="C2503" s="90" t="s">
        <v>10</v>
      </c>
      <c r="D2503" s="90" t="str">
        <f>VLOOKUP(Tabela1[[#This Row],[Origem]],'Perguntas 1 a 24'!$J$28:$K$34,2,FALSE)</f>
        <v>Centro-Oeste</v>
      </c>
      <c r="E2503" s="90" t="s">
        <v>13841</v>
      </c>
      <c r="F2503" s="91">
        <v>46990</v>
      </c>
      <c r="G2503" s="92">
        <v>94182</v>
      </c>
      <c r="H2503" s="90" t="s">
        <v>7</v>
      </c>
      <c r="I25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03" s="90" t="s">
        <v>8253</v>
      </c>
    </row>
    <row r="2504" spans="1:11">
      <c r="A2504" s="90" t="s">
        <v>8252</v>
      </c>
      <c r="B2504" s="90" t="s">
        <v>8253</v>
      </c>
      <c r="C2504" s="90" t="s">
        <v>16</v>
      </c>
      <c r="D2504" s="90" t="str">
        <f>VLOOKUP(Tabela1[[#This Row],[Origem]],'Perguntas 1 a 24'!$J$28:$K$34,2,FALSE)</f>
        <v>Sudeste</v>
      </c>
      <c r="E2504" s="90" t="s">
        <v>13842</v>
      </c>
      <c r="F2504" s="91">
        <v>46991</v>
      </c>
      <c r="G2504" s="92">
        <v>114908</v>
      </c>
      <c r="H2504" s="90" t="s">
        <v>7</v>
      </c>
      <c r="I25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04" s="90" t="s">
        <v>8844</v>
      </c>
    </row>
    <row r="2505" spans="1:11">
      <c r="A2505" s="90" t="s">
        <v>8843</v>
      </c>
      <c r="B2505" s="90" t="s">
        <v>8844</v>
      </c>
      <c r="C2505" s="90" t="s">
        <v>6</v>
      </c>
      <c r="D2505" s="90" t="str">
        <f>VLOOKUP(Tabela1[[#This Row],[Origem]],'Perguntas 1 a 24'!$J$28:$K$34,2,FALSE)</f>
        <v>Nordeste</v>
      </c>
      <c r="E2505" s="90" t="s">
        <v>13843</v>
      </c>
      <c r="F2505" s="91">
        <v>46991</v>
      </c>
      <c r="G2505" s="92">
        <v>36000</v>
      </c>
      <c r="H2505" s="90" t="s">
        <v>9</v>
      </c>
      <c r="I25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05" s="90" t="s">
        <v>4137</v>
      </c>
    </row>
    <row r="2506" spans="1:11">
      <c r="A2506" s="90" t="s">
        <v>4136</v>
      </c>
      <c r="B2506" s="90" t="s">
        <v>4137</v>
      </c>
      <c r="C2506" s="90" t="s">
        <v>13</v>
      </c>
      <c r="D2506" s="90" t="str">
        <f>VLOOKUP(Tabela1[[#This Row],[Origem]],'Perguntas 1 a 24'!$J$28:$K$34,2,FALSE)</f>
        <v>Sudeste</v>
      </c>
      <c r="E2506" s="90" t="s">
        <v>13844</v>
      </c>
      <c r="F2506" s="91">
        <v>46992</v>
      </c>
      <c r="G2506" s="92">
        <v>27526</v>
      </c>
      <c r="H2506" s="90" t="s">
        <v>11</v>
      </c>
      <c r="I25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06" s="90" t="s">
        <v>4635</v>
      </c>
    </row>
    <row r="2507" spans="1:11">
      <c r="A2507" s="90" t="s">
        <v>4634</v>
      </c>
      <c r="B2507" s="90" t="s">
        <v>4635</v>
      </c>
      <c r="C2507" s="90" t="s">
        <v>8</v>
      </c>
      <c r="D2507" s="90" t="str">
        <f>VLOOKUP(Tabela1[[#This Row],[Origem]],'Perguntas 1 a 24'!$J$28:$K$34,2,FALSE)</f>
        <v>Nordeste</v>
      </c>
      <c r="E2507" s="90" t="s">
        <v>13845</v>
      </c>
      <c r="F2507" s="91">
        <v>46993</v>
      </c>
      <c r="G2507" s="92">
        <v>114131</v>
      </c>
      <c r="H2507" s="90" t="s">
        <v>9</v>
      </c>
      <c r="I25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07" s="90" t="s">
        <v>9050</v>
      </c>
    </row>
    <row r="2508" spans="1:11">
      <c r="A2508" s="90" t="s">
        <v>9049</v>
      </c>
      <c r="B2508" s="90" t="s">
        <v>9050</v>
      </c>
      <c r="C2508" s="90" t="s">
        <v>16</v>
      </c>
      <c r="D2508" s="90" t="str">
        <f>VLOOKUP(Tabela1[[#This Row],[Origem]],'Perguntas 1 a 24'!$J$28:$K$34,2,FALSE)</f>
        <v>Sudeste</v>
      </c>
      <c r="E2508" s="90" t="s">
        <v>13846</v>
      </c>
      <c r="F2508" s="91">
        <v>46993</v>
      </c>
      <c r="G2508" s="92">
        <v>101436</v>
      </c>
      <c r="H2508" s="90" t="s">
        <v>11</v>
      </c>
      <c r="I25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08" s="90" t="s">
        <v>4969</v>
      </c>
    </row>
    <row r="2509" spans="1:11">
      <c r="A2509" s="90" t="s">
        <v>4968</v>
      </c>
      <c r="B2509" s="90" t="s">
        <v>4969</v>
      </c>
      <c r="C2509" s="90" t="s">
        <v>6</v>
      </c>
      <c r="D2509" s="90" t="str">
        <f>VLOOKUP(Tabela1[[#This Row],[Origem]],'Perguntas 1 a 24'!$J$28:$K$34,2,FALSE)</f>
        <v>Nordeste</v>
      </c>
      <c r="E2509" s="90" t="s">
        <v>13847</v>
      </c>
      <c r="F2509" s="91">
        <v>46994</v>
      </c>
      <c r="G2509" s="92">
        <v>86813</v>
      </c>
      <c r="H2509" s="90" t="s">
        <v>11</v>
      </c>
      <c r="I25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09" s="90" t="s">
        <v>10714</v>
      </c>
    </row>
    <row r="2510" spans="1:11">
      <c r="A2510" s="90" t="s">
        <v>10713</v>
      </c>
      <c r="B2510" s="90" t="s">
        <v>10714</v>
      </c>
      <c r="C2510" s="90" t="s">
        <v>6</v>
      </c>
      <c r="D2510" s="90" t="str">
        <f>VLOOKUP(Tabela1[[#This Row],[Origem]],'Perguntas 1 a 24'!$J$28:$K$34,2,FALSE)</f>
        <v>Nordeste</v>
      </c>
      <c r="E2510" s="90" t="s">
        <v>13848</v>
      </c>
      <c r="F2510" s="91">
        <v>46994</v>
      </c>
      <c r="G2510" s="92">
        <v>108473</v>
      </c>
      <c r="H2510" s="90" t="s">
        <v>14</v>
      </c>
      <c r="I25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0" s="90" t="s">
        <v>6229</v>
      </c>
    </row>
    <row r="2511" spans="1:11">
      <c r="A2511" s="90" t="s">
        <v>6228</v>
      </c>
      <c r="B2511" s="90" t="s">
        <v>6229</v>
      </c>
      <c r="C2511" s="90" t="s">
        <v>16</v>
      </c>
      <c r="D2511" s="90" t="str">
        <f>VLOOKUP(Tabela1[[#This Row],[Origem]],'Perguntas 1 a 24'!$J$28:$K$34,2,FALSE)</f>
        <v>Sudeste</v>
      </c>
      <c r="E2511" s="90" t="s">
        <v>13849</v>
      </c>
      <c r="F2511" s="91">
        <v>46995</v>
      </c>
      <c r="G2511" s="92">
        <v>107468</v>
      </c>
      <c r="H2511" s="90" t="s">
        <v>11</v>
      </c>
      <c r="I25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1" s="90" t="s">
        <v>6511</v>
      </c>
    </row>
    <row r="2512" spans="1:11">
      <c r="A2512" s="90" t="s">
        <v>6510</v>
      </c>
      <c r="B2512" s="90" t="s">
        <v>6511</v>
      </c>
      <c r="C2512" s="90" t="s">
        <v>15</v>
      </c>
      <c r="D2512" s="90" t="str">
        <f>VLOOKUP(Tabela1[[#This Row],[Origem]],'Perguntas 1 a 24'!$J$28:$K$34,2,FALSE)</f>
        <v>Sudeste</v>
      </c>
      <c r="E2512" s="90" t="s">
        <v>13850</v>
      </c>
      <c r="F2512" s="91">
        <v>46995</v>
      </c>
      <c r="G2512" s="92">
        <v>32370</v>
      </c>
      <c r="H2512" s="90" t="s">
        <v>11</v>
      </c>
      <c r="I25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12" s="90" t="s">
        <v>8964</v>
      </c>
    </row>
    <row r="2513" spans="1:11">
      <c r="A2513" s="90" t="s">
        <v>8963</v>
      </c>
      <c r="B2513" s="90" t="s">
        <v>8964</v>
      </c>
      <c r="C2513" s="90" t="s">
        <v>15</v>
      </c>
      <c r="D2513" s="90" t="str">
        <f>VLOOKUP(Tabela1[[#This Row],[Origem]],'Perguntas 1 a 24'!$J$28:$K$34,2,FALSE)</f>
        <v>Sudeste</v>
      </c>
      <c r="E2513" s="90" t="s">
        <v>13851</v>
      </c>
      <c r="F2513" s="91">
        <v>46995</v>
      </c>
      <c r="G2513" s="92">
        <v>71075</v>
      </c>
      <c r="H2513" s="90" t="s">
        <v>9</v>
      </c>
      <c r="I25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3" s="90" t="s">
        <v>9724</v>
      </c>
    </row>
    <row r="2514" spans="1:11">
      <c r="A2514" s="90" t="s">
        <v>9723</v>
      </c>
      <c r="B2514" s="90" t="s">
        <v>9724</v>
      </c>
      <c r="C2514" s="90" t="s">
        <v>6</v>
      </c>
      <c r="D2514" s="90" t="str">
        <f>VLOOKUP(Tabela1[[#This Row],[Origem]],'Perguntas 1 a 24'!$J$28:$K$34,2,FALSE)</f>
        <v>Nordeste</v>
      </c>
      <c r="E2514" s="90" t="s">
        <v>13852</v>
      </c>
      <c r="F2514" s="91">
        <v>46998</v>
      </c>
      <c r="G2514" s="92">
        <v>100736</v>
      </c>
      <c r="H2514" s="90" t="s">
        <v>11</v>
      </c>
      <c r="I25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4" s="90" t="s">
        <v>9576</v>
      </c>
    </row>
    <row r="2515" spans="1:11">
      <c r="A2515" s="90" t="s">
        <v>9575</v>
      </c>
      <c r="B2515" s="90" t="s">
        <v>9576</v>
      </c>
      <c r="C2515" s="90" t="s">
        <v>15</v>
      </c>
      <c r="D2515" s="90" t="str">
        <f>VLOOKUP(Tabela1[[#This Row],[Origem]],'Perguntas 1 a 24'!$J$28:$K$34,2,FALSE)</f>
        <v>Sudeste</v>
      </c>
      <c r="E2515" s="90" t="s">
        <v>13853</v>
      </c>
      <c r="F2515" s="91">
        <v>47000</v>
      </c>
      <c r="G2515" s="92">
        <v>58583</v>
      </c>
      <c r="H2515" s="90" t="s">
        <v>11</v>
      </c>
      <c r="I25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5" s="90" t="s">
        <v>5987</v>
      </c>
    </row>
    <row r="2516" spans="1:11">
      <c r="A2516" s="90" t="s">
        <v>5986</v>
      </c>
      <c r="B2516" s="90" t="s">
        <v>5987</v>
      </c>
      <c r="C2516" s="90" t="s">
        <v>15</v>
      </c>
      <c r="D2516" s="90" t="str">
        <f>VLOOKUP(Tabela1[[#This Row],[Origem]],'Perguntas 1 a 24'!$J$28:$K$34,2,FALSE)</f>
        <v>Sudeste</v>
      </c>
      <c r="E2516" s="90" t="s">
        <v>13854</v>
      </c>
      <c r="F2516" s="91">
        <v>47001</v>
      </c>
      <c r="G2516" s="92">
        <v>90518</v>
      </c>
      <c r="H2516" s="90" t="s">
        <v>9</v>
      </c>
      <c r="I25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6" s="90" t="s">
        <v>6129</v>
      </c>
    </row>
    <row r="2517" spans="1:11">
      <c r="A2517" s="90" t="s">
        <v>6128</v>
      </c>
      <c r="B2517" s="90" t="s">
        <v>6129</v>
      </c>
      <c r="C2517" s="90" t="s">
        <v>13</v>
      </c>
      <c r="D2517" s="90" t="str">
        <f>VLOOKUP(Tabela1[[#This Row],[Origem]],'Perguntas 1 a 24'!$J$28:$K$34,2,FALSE)</f>
        <v>Sudeste</v>
      </c>
      <c r="E2517" s="90" t="s">
        <v>13855</v>
      </c>
      <c r="F2517" s="91">
        <v>47002</v>
      </c>
      <c r="G2517" s="92">
        <v>101000</v>
      </c>
      <c r="H2517" s="90" t="s">
        <v>11</v>
      </c>
      <c r="I25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7" s="90" t="s">
        <v>6565</v>
      </c>
    </row>
    <row r="2518" spans="1:11">
      <c r="A2518" s="90" t="s">
        <v>6564</v>
      </c>
      <c r="B2518" s="90" t="s">
        <v>6565</v>
      </c>
      <c r="C2518" s="90" t="s">
        <v>16</v>
      </c>
      <c r="D2518" s="90" t="str">
        <f>VLOOKUP(Tabela1[[#This Row],[Origem]],'Perguntas 1 a 24'!$J$28:$K$34,2,FALSE)</f>
        <v>Sudeste</v>
      </c>
      <c r="E2518" s="90" t="s">
        <v>13856</v>
      </c>
      <c r="F2518" s="91">
        <v>47002</v>
      </c>
      <c r="G2518" s="92">
        <v>78976</v>
      </c>
      <c r="H2518" s="90" t="s">
        <v>9</v>
      </c>
      <c r="I25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8" s="90" t="s">
        <v>6643</v>
      </c>
    </row>
    <row r="2519" spans="1:11">
      <c r="A2519" s="90" t="s">
        <v>6642</v>
      </c>
      <c r="B2519" s="90" t="s">
        <v>6643</v>
      </c>
      <c r="C2519" s="90" t="s">
        <v>8</v>
      </c>
      <c r="D2519" s="90" t="str">
        <f>VLOOKUP(Tabela1[[#This Row],[Origem]],'Perguntas 1 a 24'!$J$28:$K$34,2,FALSE)</f>
        <v>Nordeste</v>
      </c>
      <c r="E2519" s="90" t="s">
        <v>13857</v>
      </c>
      <c r="F2519" s="91">
        <v>47002</v>
      </c>
      <c r="G2519" s="92">
        <v>60595</v>
      </c>
      <c r="H2519" s="90" t="s">
        <v>11</v>
      </c>
      <c r="I25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19" s="90" t="s">
        <v>9964</v>
      </c>
    </row>
    <row r="2520" spans="1:11">
      <c r="A2520" s="90" t="s">
        <v>9963</v>
      </c>
      <c r="B2520" s="90" t="s">
        <v>9964</v>
      </c>
      <c r="C2520" s="90" t="s">
        <v>15</v>
      </c>
      <c r="D2520" s="90" t="str">
        <f>VLOOKUP(Tabela1[[#This Row],[Origem]],'Perguntas 1 a 24'!$J$28:$K$34,2,FALSE)</f>
        <v>Sudeste</v>
      </c>
      <c r="E2520" s="90" t="s">
        <v>13858</v>
      </c>
      <c r="F2520" s="91">
        <v>47002</v>
      </c>
      <c r="G2520" s="92">
        <v>35376</v>
      </c>
      <c r="H2520" s="90" t="s">
        <v>14</v>
      </c>
      <c r="I25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20" s="90" t="s">
        <v>4561</v>
      </c>
    </row>
    <row r="2521" spans="1:11">
      <c r="A2521" s="90" t="s">
        <v>4560</v>
      </c>
      <c r="B2521" s="90" t="s">
        <v>4561</v>
      </c>
      <c r="C2521" s="90" t="s">
        <v>13</v>
      </c>
      <c r="D2521" s="90" t="str">
        <f>VLOOKUP(Tabela1[[#This Row],[Origem]],'Perguntas 1 a 24'!$J$28:$K$34,2,FALSE)</f>
        <v>Sudeste</v>
      </c>
      <c r="E2521" s="90" t="s">
        <v>13859</v>
      </c>
      <c r="F2521" s="91">
        <v>47003</v>
      </c>
      <c r="G2521" s="92">
        <v>77030</v>
      </c>
      <c r="H2521" s="90" t="s">
        <v>9</v>
      </c>
      <c r="I25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21" s="90" t="s">
        <v>7225</v>
      </c>
    </row>
    <row r="2522" spans="1:11">
      <c r="A2522" s="90" t="s">
        <v>7224</v>
      </c>
      <c r="B2522" s="90" t="s">
        <v>7225</v>
      </c>
      <c r="C2522" s="90" t="s">
        <v>16</v>
      </c>
      <c r="D2522" s="90" t="str">
        <f>VLOOKUP(Tabela1[[#This Row],[Origem]],'Perguntas 1 a 24'!$J$28:$K$34,2,FALSE)</f>
        <v>Sudeste</v>
      </c>
      <c r="E2522" s="90" t="s">
        <v>13860</v>
      </c>
      <c r="F2522" s="91">
        <v>47003</v>
      </c>
      <c r="G2522" s="92">
        <v>52894</v>
      </c>
      <c r="H2522" s="90" t="s">
        <v>7</v>
      </c>
      <c r="I25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22" s="90" t="s">
        <v>9840</v>
      </c>
    </row>
    <row r="2523" spans="1:11">
      <c r="A2523" s="90" t="s">
        <v>9839</v>
      </c>
      <c r="B2523" s="90" t="s">
        <v>9840</v>
      </c>
      <c r="C2523" s="90" t="s">
        <v>12</v>
      </c>
      <c r="D2523" s="90" t="str">
        <f>VLOOKUP(Tabela1[[#This Row],[Origem]],'Perguntas 1 a 24'!$J$28:$K$34,2,FALSE)</f>
        <v>Sudeste</v>
      </c>
      <c r="E2523" s="90" t="s">
        <v>13861</v>
      </c>
      <c r="F2523" s="91">
        <v>47003</v>
      </c>
      <c r="G2523" s="92">
        <v>62702</v>
      </c>
      <c r="H2523" s="90" t="s">
        <v>9</v>
      </c>
      <c r="I25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23" s="90" t="s">
        <v>8562</v>
      </c>
    </row>
    <row r="2524" spans="1:11">
      <c r="A2524" s="90" t="s">
        <v>8561</v>
      </c>
      <c r="B2524" s="90" t="s">
        <v>8562</v>
      </c>
      <c r="C2524" s="90" t="s">
        <v>6</v>
      </c>
      <c r="D2524" s="90" t="str">
        <f>VLOOKUP(Tabela1[[#This Row],[Origem]],'Perguntas 1 a 24'!$J$28:$K$34,2,FALSE)</f>
        <v>Nordeste</v>
      </c>
      <c r="E2524" s="90" t="s">
        <v>13862</v>
      </c>
      <c r="F2524" s="91">
        <v>47005</v>
      </c>
      <c r="G2524" s="92">
        <v>72576</v>
      </c>
      <c r="H2524" s="90" t="s">
        <v>9</v>
      </c>
      <c r="I25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24" s="90" t="s">
        <v>7347</v>
      </c>
    </row>
    <row r="2525" spans="1:11">
      <c r="A2525" s="90" t="s">
        <v>7346</v>
      </c>
      <c r="B2525" s="90" t="s">
        <v>7347</v>
      </c>
      <c r="C2525" s="90" t="s">
        <v>10</v>
      </c>
      <c r="D2525" s="90" t="str">
        <f>VLOOKUP(Tabela1[[#This Row],[Origem]],'Perguntas 1 a 24'!$J$28:$K$34,2,FALSE)</f>
        <v>Centro-Oeste</v>
      </c>
      <c r="E2525" s="90" t="s">
        <v>13863</v>
      </c>
      <c r="F2525" s="91">
        <v>47006</v>
      </c>
      <c r="G2525" s="92">
        <v>53462</v>
      </c>
      <c r="H2525" s="90" t="s">
        <v>14</v>
      </c>
      <c r="I25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25" s="90" t="s">
        <v>3775</v>
      </c>
    </row>
    <row r="2526" spans="1:11">
      <c r="A2526" s="90" t="s">
        <v>3774</v>
      </c>
      <c r="B2526" s="90" t="s">
        <v>3775</v>
      </c>
      <c r="C2526" s="90" t="s">
        <v>10</v>
      </c>
      <c r="D2526" s="90" t="str">
        <f>VLOOKUP(Tabela1[[#This Row],[Origem]],'Perguntas 1 a 24'!$J$28:$K$34,2,FALSE)</f>
        <v>Centro-Oeste</v>
      </c>
      <c r="E2526" s="90" t="s">
        <v>13864</v>
      </c>
      <c r="F2526" s="91">
        <v>47007</v>
      </c>
      <c r="G2526" s="92">
        <v>112363</v>
      </c>
      <c r="H2526" s="90" t="s">
        <v>11</v>
      </c>
      <c r="I25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26" s="90" t="s">
        <v>10378</v>
      </c>
    </row>
    <row r="2527" spans="1:11">
      <c r="A2527" s="90" t="s">
        <v>10377</v>
      </c>
      <c r="B2527" s="90" t="s">
        <v>10378</v>
      </c>
      <c r="C2527" s="90" t="s">
        <v>8</v>
      </c>
      <c r="D2527" s="90" t="str">
        <f>VLOOKUP(Tabela1[[#This Row],[Origem]],'Perguntas 1 a 24'!$J$28:$K$34,2,FALSE)</f>
        <v>Nordeste</v>
      </c>
      <c r="E2527" s="90" t="s">
        <v>13865</v>
      </c>
      <c r="F2527" s="91">
        <v>47007</v>
      </c>
      <c r="G2527" s="92">
        <v>26127</v>
      </c>
      <c r="H2527" s="90" t="s">
        <v>11</v>
      </c>
      <c r="I25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27" s="90" t="s">
        <v>10846</v>
      </c>
    </row>
    <row r="2528" spans="1:11">
      <c r="A2528" s="90" t="s">
        <v>10845</v>
      </c>
      <c r="B2528" s="90" t="s">
        <v>10846</v>
      </c>
      <c r="C2528" s="90" t="s">
        <v>8</v>
      </c>
      <c r="D2528" s="90" t="str">
        <f>VLOOKUP(Tabela1[[#This Row],[Origem]],'Perguntas 1 a 24'!$J$28:$K$34,2,FALSE)</f>
        <v>Nordeste</v>
      </c>
      <c r="E2528" s="90" t="s">
        <v>13866</v>
      </c>
      <c r="F2528" s="91">
        <v>47007</v>
      </c>
      <c r="G2528" s="92">
        <v>41331</v>
      </c>
      <c r="H2528" s="90" t="s">
        <v>11</v>
      </c>
      <c r="I25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28" s="90" t="s">
        <v>4430</v>
      </c>
    </row>
    <row r="2529" spans="1:11">
      <c r="A2529" s="90" t="s">
        <v>4429</v>
      </c>
      <c r="B2529" s="90" t="s">
        <v>4430</v>
      </c>
      <c r="C2529" s="90" t="s">
        <v>6</v>
      </c>
      <c r="D2529" s="90" t="str">
        <f>VLOOKUP(Tabela1[[#This Row],[Origem]],'Perguntas 1 a 24'!$J$28:$K$34,2,FALSE)</f>
        <v>Nordeste</v>
      </c>
      <c r="E2529" s="90" t="s">
        <v>13867</v>
      </c>
      <c r="F2529" s="91">
        <v>47008</v>
      </c>
      <c r="G2529" s="92">
        <v>65661</v>
      </c>
      <c r="H2529" s="90" t="s">
        <v>11</v>
      </c>
      <c r="I25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29" s="90" t="s">
        <v>9694</v>
      </c>
    </row>
    <row r="2530" spans="1:11">
      <c r="A2530" s="90" t="s">
        <v>9693</v>
      </c>
      <c r="B2530" s="90" t="s">
        <v>9694</v>
      </c>
      <c r="C2530" s="90" t="s">
        <v>8</v>
      </c>
      <c r="D2530" s="90" t="str">
        <f>VLOOKUP(Tabela1[[#This Row],[Origem]],'Perguntas 1 a 24'!$J$28:$K$34,2,FALSE)</f>
        <v>Nordeste</v>
      </c>
      <c r="E2530" s="90" t="s">
        <v>13868</v>
      </c>
      <c r="F2530" s="91">
        <v>47008</v>
      </c>
      <c r="G2530" s="92">
        <v>32470</v>
      </c>
      <c r="H2530" s="90" t="s">
        <v>9</v>
      </c>
      <c r="I25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30" s="90" t="s">
        <v>10672</v>
      </c>
    </row>
    <row r="2531" spans="1:11">
      <c r="A2531" s="90" t="s">
        <v>10671</v>
      </c>
      <c r="B2531" s="90" t="s">
        <v>10672</v>
      </c>
      <c r="C2531" s="90" t="s">
        <v>10</v>
      </c>
      <c r="D2531" s="90" t="str">
        <f>VLOOKUP(Tabela1[[#This Row],[Origem]],'Perguntas 1 a 24'!$J$28:$K$34,2,FALSE)</f>
        <v>Centro-Oeste</v>
      </c>
      <c r="E2531" s="90" t="s">
        <v>13869</v>
      </c>
      <c r="F2531" s="91">
        <v>47008</v>
      </c>
      <c r="G2531" s="92">
        <v>96730</v>
      </c>
      <c r="H2531" s="90" t="s">
        <v>7</v>
      </c>
      <c r="I25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31" s="90" t="s">
        <v>7145</v>
      </c>
    </row>
    <row r="2532" spans="1:11">
      <c r="A2532" s="90" t="s">
        <v>7144</v>
      </c>
      <c r="B2532" s="90" t="s">
        <v>7145</v>
      </c>
      <c r="C2532" s="90" t="s">
        <v>16</v>
      </c>
      <c r="D2532" s="90" t="str">
        <f>VLOOKUP(Tabela1[[#This Row],[Origem]],'Perguntas 1 a 24'!$J$28:$K$34,2,FALSE)</f>
        <v>Sudeste</v>
      </c>
      <c r="E2532" s="90" t="s">
        <v>13870</v>
      </c>
      <c r="F2532" s="91">
        <v>47009</v>
      </c>
      <c r="G2532" s="92">
        <v>110231</v>
      </c>
      <c r="H2532" s="90" t="s">
        <v>14</v>
      </c>
      <c r="I25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32" s="90" t="s">
        <v>8968</v>
      </c>
    </row>
    <row r="2533" spans="1:11">
      <c r="A2533" s="90" t="s">
        <v>8967</v>
      </c>
      <c r="B2533" s="90" t="s">
        <v>8968</v>
      </c>
      <c r="C2533" s="90" t="s">
        <v>15</v>
      </c>
      <c r="D2533" s="90" t="str">
        <f>VLOOKUP(Tabela1[[#This Row],[Origem]],'Perguntas 1 a 24'!$J$28:$K$34,2,FALSE)</f>
        <v>Sudeste</v>
      </c>
      <c r="E2533" s="90" t="s">
        <v>13871</v>
      </c>
      <c r="F2533" s="91">
        <v>47009</v>
      </c>
      <c r="G2533" s="92">
        <v>71082</v>
      </c>
      <c r="H2533" s="90" t="s">
        <v>9</v>
      </c>
      <c r="I25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33" s="90" t="s">
        <v>9068</v>
      </c>
    </row>
    <row r="2534" spans="1:11">
      <c r="A2534" s="90" t="s">
        <v>9067</v>
      </c>
      <c r="B2534" s="90" t="s">
        <v>9068</v>
      </c>
      <c r="C2534" s="90" t="s">
        <v>13</v>
      </c>
      <c r="D2534" s="90" t="str">
        <f>VLOOKUP(Tabela1[[#This Row],[Origem]],'Perguntas 1 a 24'!$J$28:$K$34,2,FALSE)</f>
        <v>Sudeste</v>
      </c>
      <c r="E2534" s="90" t="s">
        <v>13872</v>
      </c>
      <c r="F2534" s="91">
        <v>47009</v>
      </c>
      <c r="G2534" s="92">
        <v>61478</v>
      </c>
      <c r="H2534" s="90" t="s">
        <v>9</v>
      </c>
      <c r="I25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34" s="90" t="s">
        <v>9344</v>
      </c>
    </row>
    <row r="2535" spans="1:11">
      <c r="A2535" s="90" t="s">
        <v>9343</v>
      </c>
      <c r="B2535" s="90" t="s">
        <v>9344</v>
      </c>
      <c r="C2535" s="90" t="s">
        <v>16</v>
      </c>
      <c r="D2535" s="90" t="str">
        <f>VLOOKUP(Tabela1[[#This Row],[Origem]],'Perguntas 1 a 24'!$J$28:$K$34,2,FALSE)</f>
        <v>Sudeste</v>
      </c>
      <c r="E2535" s="90" t="s">
        <v>13873</v>
      </c>
      <c r="F2535" s="91">
        <v>47009</v>
      </c>
      <c r="G2535" s="92">
        <v>25857</v>
      </c>
      <c r="H2535" s="90" t="s">
        <v>9</v>
      </c>
      <c r="I25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35" s="90" t="s">
        <v>7887</v>
      </c>
    </row>
    <row r="2536" spans="1:11">
      <c r="A2536" s="90" t="s">
        <v>7886</v>
      </c>
      <c r="B2536" s="90" t="s">
        <v>7887</v>
      </c>
      <c r="C2536" s="90" t="s">
        <v>16</v>
      </c>
      <c r="D2536" s="90" t="str">
        <f>VLOOKUP(Tabela1[[#This Row],[Origem]],'Perguntas 1 a 24'!$J$28:$K$34,2,FALSE)</f>
        <v>Sudeste</v>
      </c>
      <c r="E2536" s="90" t="s">
        <v>13874</v>
      </c>
      <c r="F2536" s="91">
        <v>47010</v>
      </c>
      <c r="G2536" s="92">
        <v>112695</v>
      </c>
      <c r="H2536" s="90" t="s">
        <v>7</v>
      </c>
      <c r="I25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36" s="90" t="s">
        <v>10530</v>
      </c>
    </row>
    <row r="2537" spans="1:11">
      <c r="A2537" s="90" t="s">
        <v>10529</v>
      </c>
      <c r="B2537" s="90" t="s">
        <v>10530</v>
      </c>
      <c r="C2537" s="90" t="s">
        <v>16</v>
      </c>
      <c r="D2537" s="90" t="str">
        <f>VLOOKUP(Tabela1[[#This Row],[Origem]],'Perguntas 1 a 24'!$J$28:$K$34,2,FALSE)</f>
        <v>Sudeste</v>
      </c>
      <c r="E2537" s="90" t="s">
        <v>13875</v>
      </c>
      <c r="F2537" s="91">
        <v>47010</v>
      </c>
      <c r="G2537" s="92">
        <v>58913</v>
      </c>
      <c r="H2537" s="90" t="s">
        <v>14</v>
      </c>
      <c r="I25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37" s="90" t="s">
        <v>7093</v>
      </c>
    </row>
    <row r="2538" spans="1:11">
      <c r="A2538" s="90" t="s">
        <v>7092</v>
      </c>
      <c r="B2538" s="90" t="s">
        <v>7093</v>
      </c>
      <c r="C2538" s="90" t="s">
        <v>12</v>
      </c>
      <c r="D2538" s="90" t="str">
        <f>VLOOKUP(Tabela1[[#This Row],[Origem]],'Perguntas 1 a 24'!$J$28:$K$34,2,FALSE)</f>
        <v>Sudeste</v>
      </c>
      <c r="E2538" s="90" t="s">
        <v>13876</v>
      </c>
      <c r="F2538" s="91">
        <v>47011</v>
      </c>
      <c r="G2538" s="92">
        <v>55519</v>
      </c>
      <c r="H2538" s="90" t="s">
        <v>7</v>
      </c>
      <c r="I25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38" s="90" t="s">
        <v>9672</v>
      </c>
    </row>
    <row r="2539" spans="1:11">
      <c r="A2539" s="90" t="s">
        <v>9671</v>
      </c>
      <c r="B2539" s="90" t="s">
        <v>9672</v>
      </c>
      <c r="C2539" s="90" t="s">
        <v>10</v>
      </c>
      <c r="D2539" s="90" t="str">
        <f>VLOOKUP(Tabela1[[#This Row],[Origem]],'Perguntas 1 a 24'!$J$28:$K$34,2,FALSE)</f>
        <v>Centro-Oeste</v>
      </c>
      <c r="E2539" s="90" t="s">
        <v>13877</v>
      </c>
      <c r="F2539" s="91">
        <v>47011</v>
      </c>
      <c r="G2539" s="92">
        <v>96762</v>
      </c>
      <c r="H2539" s="90" t="s">
        <v>9</v>
      </c>
      <c r="I25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39" s="90" t="s">
        <v>9692</v>
      </c>
    </row>
    <row r="2540" spans="1:11">
      <c r="A2540" s="90" t="s">
        <v>9691</v>
      </c>
      <c r="B2540" s="90" t="s">
        <v>9692</v>
      </c>
      <c r="C2540" s="90" t="s">
        <v>10</v>
      </c>
      <c r="D2540" s="90" t="str">
        <f>VLOOKUP(Tabela1[[#This Row],[Origem]],'Perguntas 1 a 24'!$J$28:$K$34,2,FALSE)</f>
        <v>Centro-Oeste</v>
      </c>
      <c r="E2540" s="90" t="s">
        <v>13878</v>
      </c>
      <c r="F2540" s="91">
        <v>47011</v>
      </c>
      <c r="G2540" s="92">
        <v>38624</v>
      </c>
      <c r="H2540" s="90" t="s">
        <v>9</v>
      </c>
      <c r="I25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40" s="90" t="s">
        <v>6669</v>
      </c>
    </row>
    <row r="2541" spans="1:11">
      <c r="A2541" s="90" t="s">
        <v>6668</v>
      </c>
      <c r="B2541" s="90" t="s">
        <v>6669</v>
      </c>
      <c r="C2541" s="90" t="s">
        <v>8</v>
      </c>
      <c r="D2541" s="90" t="str">
        <f>VLOOKUP(Tabela1[[#This Row],[Origem]],'Perguntas 1 a 24'!$J$28:$K$34,2,FALSE)</f>
        <v>Nordeste</v>
      </c>
      <c r="E2541" s="90" t="s">
        <v>13879</v>
      </c>
      <c r="F2541" s="91">
        <v>47013</v>
      </c>
      <c r="G2541" s="92">
        <v>69788</v>
      </c>
      <c r="H2541" s="90" t="s">
        <v>9</v>
      </c>
      <c r="I25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41" s="90" t="s">
        <v>7915</v>
      </c>
    </row>
    <row r="2542" spans="1:11">
      <c r="A2542" s="90" t="s">
        <v>7914</v>
      </c>
      <c r="B2542" s="90" t="s">
        <v>7915</v>
      </c>
      <c r="C2542" s="90" t="s">
        <v>12</v>
      </c>
      <c r="D2542" s="90" t="str">
        <f>VLOOKUP(Tabela1[[#This Row],[Origem]],'Perguntas 1 a 24'!$J$28:$K$34,2,FALSE)</f>
        <v>Sudeste</v>
      </c>
      <c r="E2542" s="90" t="s">
        <v>13880</v>
      </c>
      <c r="F2542" s="91">
        <v>47014</v>
      </c>
      <c r="G2542" s="92">
        <v>25140</v>
      </c>
      <c r="H2542" s="90" t="s">
        <v>9</v>
      </c>
      <c r="I25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42" s="90" t="s">
        <v>5763</v>
      </c>
    </row>
    <row r="2543" spans="1:11">
      <c r="A2543" s="90" t="s">
        <v>5762</v>
      </c>
      <c r="B2543" s="90" t="s">
        <v>5763</v>
      </c>
      <c r="C2543" s="90" t="s">
        <v>12</v>
      </c>
      <c r="D2543" s="90" t="str">
        <f>VLOOKUP(Tabela1[[#This Row],[Origem]],'Perguntas 1 a 24'!$J$28:$K$34,2,FALSE)</f>
        <v>Sudeste</v>
      </c>
      <c r="E2543" s="90" t="s">
        <v>13881</v>
      </c>
      <c r="F2543" s="91">
        <v>47015</v>
      </c>
      <c r="G2543" s="92">
        <v>97833</v>
      </c>
      <c r="H2543" s="90" t="s">
        <v>14</v>
      </c>
      <c r="I25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43" s="90" t="s">
        <v>11276</v>
      </c>
    </row>
    <row r="2544" spans="1:11">
      <c r="A2544" s="90" t="s">
        <v>11275</v>
      </c>
      <c r="B2544" s="90" t="s">
        <v>11276</v>
      </c>
      <c r="C2544" s="90" t="s">
        <v>13</v>
      </c>
      <c r="D2544" s="90" t="str">
        <f>VLOOKUP(Tabela1[[#This Row],[Origem]],'Perguntas 1 a 24'!$J$28:$K$34,2,FALSE)</f>
        <v>Sudeste</v>
      </c>
      <c r="E2544" s="90" t="s">
        <v>13882</v>
      </c>
      <c r="F2544" s="91">
        <v>47015</v>
      </c>
      <c r="G2544" s="92">
        <v>117108</v>
      </c>
      <c r="H2544" s="90" t="s">
        <v>9</v>
      </c>
      <c r="I25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44" s="90" t="s">
        <v>4328</v>
      </c>
    </row>
    <row r="2545" spans="1:11">
      <c r="A2545" s="90" t="s">
        <v>4327</v>
      </c>
      <c r="B2545" s="90" t="s">
        <v>4328</v>
      </c>
      <c r="C2545" s="90" t="s">
        <v>12</v>
      </c>
      <c r="D2545" s="90" t="str">
        <f>VLOOKUP(Tabela1[[#This Row],[Origem]],'Perguntas 1 a 24'!$J$28:$K$34,2,FALSE)</f>
        <v>Sudeste</v>
      </c>
      <c r="E2545" s="90" t="s">
        <v>13883</v>
      </c>
      <c r="F2545" s="91">
        <v>47017</v>
      </c>
      <c r="G2545" s="92">
        <v>97900</v>
      </c>
      <c r="H2545" s="90" t="s">
        <v>7</v>
      </c>
      <c r="I25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45" s="90" t="s">
        <v>9052</v>
      </c>
    </row>
    <row r="2546" spans="1:11">
      <c r="A2546" s="90" t="s">
        <v>9051</v>
      </c>
      <c r="B2546" s="90" t="s">
        <v>9052</v>
      </c>
      <c r="C2546" s="90" t="s">
        <v>16</v>
      </c>
      <c r="D2546" s="90" t="str">
        <f>VLOOKUP(Tabela1[[#This Row],[Origem]],'Perguntas 1 a 24'!$J$28:$K$34,2,FALSE)</f>
        <v>Sudeste</v>
      </c>
      <c r="E2546" s="90" t="s">
        <v>13884</v>
      </c>
      <c r="F2546" s="91">
        <v>47017</v>
      </c>
      <c r="G2546" s="92">
        <v>62353</v>
      </c>
      <c r="H2546" s="90" t="s">
        <v>7</v>
      </c>
      <c r="I25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46" s="90" t="s">
        <v>5183</v>
      </c>
    </row>
    <row r="2547" spans="1:11">
      <c r="A2547" s="90" t="s">
        <v>5182</v>
      </c>
      <c r="B2547" s="90" t="s">
        <v>5183</v>
      </c>
      <c r="C2547" s="90" t="s">
        <v>16</v>
      </c>
      <c r="D2547" s="90" t="str">
        <f>VLOOKUP(Tabela1[[#This Row],[Origem]],'Perguntas 1 a 24'!$J$28:$K$34,2,FALSE)</f>
        <v>Sudeste</v>
      </c>
      <c r="E2547" s="90" t="s">
        <v>13885</v>
      </c>
      <c r="F2547" s="91">
        <v>47018</v>
      </c>
      <c r="G2547" s="92">
        <v>75623</v>
      </c>
      <c r="H2547" s="90" t="s">
        <v>7</v>
      </c>
      <c r="I25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47" s="90" t="s">
        <v>8043</v>
      </c>
    </row>
    <row r="2548" spans="1:11">
      <c r="A2548" s="90" t="s">
        <v>8042</v>
      </c>
      <c r="B2548" s="90" t="s">
        <v>8043</v>
      </c>
      <c r="C2548" s="90" t="s">
        <v>6</v>
      </c>
      <c r="D2548" s="90" t="str">
        <f>VLOOKUP(Tabela1[[#This Row],[Origem]],'Perguntas 1 a 24'!$J$28:$K$34,2,FALSE)</f>
        <v>Nordeste</v>
      </c>
      <c r="E2548" s="90" t="s">
        <v>13886</v>
      </c>
      <c r="F2548" s="91">
        <v>47018</v>
      </c>
      <c r="G2548" s="92">
        <v>81882</v>
      </c>
      <c r="H2548" s="90" t="s">
        <v>14</v>
      </c>
      <c r="I25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48" s="90" t="s">
        <v>11332</v>
      </c>
    </row>
    <row r="2549" spans="1:11">
      <c r="A2549" s="90" t="s">
        <v>11331</v>
      </c>
      <c r="B2549" s="90" t="s">
        <v>11332</v>
      </c>
      <c r="C2549" s="90" t="s">
        <v>8</v>
      </c>
      <c r="D2549" s="90" t="str">
        <f>VLOOKUP(Tabela1[[#This Row],[Origem]],'Perguntas 1 a 24'!$J$28:$K$34,2,FALSE)</f>
        <v>Nordeste</v>
      </c>
      <c r="E2549" s="90" t="s">
        <v>13887</v>
      </c>
      <c r="F2549" s="91">
        <v>47018</v>
      </c>
      <c r="G2549" s="92">
        <v>104604</v>
      </c>
      <c r="H2549" s="90" t="s">
        <v>9</v>
      </c>
      <c r="I25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49" s="90" t="s">
        <v>5357</v>
      </c>
    </row>
    <row r="2550" spans="1:11">
      <c r="A2550" s="90" t="s">
        <v>5356</v>
      </c>
      <c r="B2550" s="90" t="s">
        <v>5357</v>
      </c>
      <c r="C2550" s="90" t="s">
        <v>10</v>
      </c>
      <c r="D2550" s="90" t="str">
        <f>VLOOKUP(Tabela1[[#This Row],[Origem]],'Perguntas 1 a 24'!$J$28:$K$34,2,FALSE)</f>
        <v>Centro-Oeste</v>
      </c>
      <c r="E2550" s="90" t="s">
        <v>13888</v>
      </c>
      <c r="F2550" s="91">
        <v>47019</v>
      </c>
      <c r="G2550" s="92">
        <v>74281</v>
      </c>
      <c r="H2550" s="90" t="s">
        <v>7</v>
      </c>
      <c r="I25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50" s="90" t="s">
        <v>10048</v>
      </c>
    </row>
    <row r="2551" spans="1:11">
      <c r="A2551" s="90" t="s">
        <v>10047</v>
      </c>
      <c r="B2551" s="90" t="s">
        <v>10048</v>
      </c>
      <c r="C2551" s="90" t="s">
        <v>16</v>
      </c>
      <c r="D2551" s="90" t="str">
        <f>VLOOKUP(Tabela1[[#This Row],[Origem]],'Perguntas 1 a 24'!$J$28:$K$34,2,FALSE)</f>
        <v>Sudeste</v>
      </c>
      <c r="E2551" s="90" t="s">
        <v>13889</v>
      </c>
      <c r="F2551" s="91">
        <v>47019</v>
      </c>
      <c r="G2551" s="92">
        <v>38955</v>
      </c>
      <c r="H2551" s="90" t="s">
        <v>14</v>
      </c>
      <c r="I25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51" s="90" t="s">
        <v>10946</v>
      </c>
    </row>
    <row r="2552" spans="1:11">
      <c r="A2552" s="90" t="s">
        <v>10945</v>
      </c>
      <c r="B2552" s="90" t="s">
        <v>10946</v>
      </c>
      <c r="C2552" s="90" t="s">
        <v>6</v>
      </c>
      <c r="D2552" s="90" t="str">
        <f>VLOOKUP(Tabela1[[#This Row],[Origem]],'Perguntas 1 a 24'!$J$28:$K$34,2,FALSE)</f>
        <v>Nordeste</v>
      </c>
      <c r="E2552" s="90" t="s">
        <v>13890</v>
      </c>
      <c r="F2552" s="91">
        <v>47019</v>
      </c>
      <c r="G2552" s="92">
        <v>113123</v>
      </c>
      <c r="H2552" s="90" t="s">
        <v>14</v>
      </c>
      <c r="I25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52" s="90" t="s">
        <v>6439</v>
      </c>
    </row>
    <row r="2553" spans="1:11">
      <c r="A2553" s="90" t="s">
        <v>6438</v>
      </c>
      <c r="B2553" s="90" t="s">
        <v>6439</v>
      </c>
      <c r="C2553" s="90" t="s">
        <v>15</v>
      </c>
      <c r="D2553" s="90" t="str">
        <f>VLOOKUP(Tabela1[[#This Row],[Origem]],'Perguntas 1 a 24'!$J$28:$K$34,2,FALSE)</f>
        <v>Sudeste</v>
      </c>
      <c r="E2553" s="90" t="s">
        <v>13891</v>
      </c>
      <c r="F2553" s="91">
        <v>47020</v>
      </c>
      <c r="G2553" s="92">
        <v>104802</v>
      </c>
      <c r="H2553" s="90" t="s">
        <v>11</v>
      </c>
      <c r="I25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53" s="90" t="s">
        <v>8021</v>
      </c>
    </row>
    <row r="2554" spans="1:11">
      <c r="A2554" s="90" t="s">
        <v>8020</v>
      </c>
      <c r="B2554" s="90" t="s">
        <v>8021</v>
      </c>
      <c r="C2554" s="90" t="s">
        <v>12</v>
      </c>
      <c r="D2554" s="90" t="str">
        <f>VLOOKUP(Tabela1[[#This Row],[Origem]],'Perguntas 1 a 24'!$J$28:$K$34,2,FALSE)</f>
        <v>Sudeste</v>
      </c>
      <c r="E2554" s="90" t="s">
        <v>13892</v>
      </c>
      <c r="F2554" s="91">
        <v>47020</v>
      </c>
      <c r="G2554" s="92">
        <v>91445</v>
      </c>
      <c r="H2554" s="90" t="s">
        <v>9</v>
      </c>
      <c r="I25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54" s="90" t="s">
        <v>8824</v>
      </c>
    </row>
    <row r="2555" spans="1:11">
      <c r="A2555" s="90" t="s">
        <v>8823</v>
      </c>
      <c r="B2555" s="90" t="s">
        <v>8824</v>
      </c>
      <c r="C2555" s="90" t="s">
        <v>12</v>
      </c>
      <c r="D2555" s="90" t="str">
        <f>VLOOKUP(Tabela1[[#This Row],[Origem]],'Perguntas 1 a 24'!$J$28:$K$34,2,FALSE)</f>
        <v>Sudeste</v>
      </c>
      <c r="E2555" s="90" t="s">
        <v>13893</v>
      </c>
      <c r="F2555" s="91">
        <v>47020</v>
      </c>
      <c r="G2555" s="92">
        <v>83407</v>
      </c>
      <c r="H2555" s="90" t="s">
        <v>14</v>
      </c>
      <c r="I25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55" s="90" t="s">
        <v>6189</v>
      </c>
    </row>
    <row r="2556" spans="1:11">
      <c r="A2556" s="90" t="s">
        <v>6188</v>
      </c>
      <c r="B2556" s="90" t="s">
        <v>6189</v>
      </c>
      <c r="C2556" s="90" t="s">
        <v>6</v>
      </c>
      <c r="D2556" s="90" t="str">
        <f>VLOOKUP(Tabela1[[#This Row],[Origem]],'Perguntas 1 a 24'!$J$28:$K$34,2,FALSE)</f>
        <v>Nordeste</v>
      </c>
      <c r="E2556" s="90" t="s">
        <v>13894</v>
      </c>
      <c r="F2556" s="91">
        <v>47023</v>
      </c>
      <c r="G2556" s="92">
        <v>52872</v>
      </c>
      <c r="H2556" s="90" t="s">
        <v>7</v>
      </c>
      <c r="I25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56" s="90" t="s">
        <v>6983</v>
      </c>
    </row>
    <row r="2557" spans="1:11">
      <c r="A2557" s="90" t="s">
        <v>6982</v>
      </c>
      <c r="B2557" s="90" t="s">
        <v>6983</v>
      </c>
      <c r="C2557" s="90" t="s">
        <v>12</v>
      </c>
      <c r="D2557" s="90" t="str">
        <f>VLOOKUP(Tabela1[[#This Row],[Origem]],'Perguntas 1 a 24'!$J$28:$K$34,2,FALSE)</f>
        <v>Sudeste</v>
      </c>
      <c r="E2557" s="90" t="s">
        <v>13895</v>
      </c>
      <c r="F2557" s="91">
        <v>47023</v>
      </c>
      <c r="G2557" s="92">
        <v>44746</v>
      </c>
      <c r="H2557" s="90" t="s">
        <v>9</v>
      </c>
      <c r="I25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57" s="90" t="s">
        <v>10436</v>
      </c>
    </row>
    <row r="2558" spans="1:11">
      <c r="A2558" s="90" t="s">
        <v>10435</v>
      </c>
      <c r="B2558" s="90" t="s">
        <v>10436</v>
      </c>
      <c r="C2558" s="90" t="s">
        <v>13</v>
      </c>
      <c r="D2558" s="90" t="str">
        <f>VLOOKUP(Tabela1[[#This Row],[Origem]],'Perguntas 1 a 24'!$J$28:$K$34,2,FALSE)</f>
        <v>Sudeste</v>
      </c>
      <c r="E2558" s="90" t="s">
        <v>13896</v>
      </c>
      <c r="F2558" s="91">
        <v>47023</v>
      </c>
      <c r="G2558" s="92">
        <v>103731</v>
      </c>
      <c r="H2558" s="90" t="s">
        <v>9</v>
      </c>
      <c r="I25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58" s="90" t="s">
        <v>4412</v>
      </c>
    </row>
    <row r="2559" spans="1:11">
      <c r="A2559" s="90" t="s">
        <v>4411</v>
      </c>
      <c r="B2559" s="90" t="s">
        <v>4412</v>
      </c>
      <c r="C2559" s="90" t="s">
        <v>8</v>
      </c>
      <c r="D2559" s="90" t="str">
        <f>VLOOKUP(Tabela1[[#This Row],[Origem]],'Perguntas 1 a 24'!$J$28:$K$34,2,FALSE)</f>
        <v>Nordeste</v>
      </c>
      <c r="E2559" s="90" t="s">
        <v>13897</v>
      </c>
      <c r="F2559" s="91">
        <v>47024</v>
      </c>
      <c r="G2559" s="92">
        <v>101490</v>
      </c>
      <c r="H2559" s="90" t="s">
        <v>11</v>
      </c>
      <c r="I25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59" s="90" t="s">
        <v>5481</v>
      </c>
    </row>
    <row r="2560" spans="1:11">
      <c r="A2560" s="90" t="s">
        <v>5480</v>
      </c>
      <c r="B2560" s="90" t="s">
        <v>5481</v>
      </c>
      <c r="C2560" s="90" t="s">
        <v>16</v>
      </c>
      <c r="D2560" s="90" t="str">
        <f>VLOOKUP(Tabela1[[#This Row],[Origem]],'Perguntas 1 a 24'!$J$28:$K$34,2,FALSE)</f>
        <v>Sudeste</v>
      </c>
      <c r="E2560" s="90" t="s">
        <v>13898</v>
      </c>
      <c r="F2560" s="91">
        <v>47024</v>
      </c>
      <c r="G2560" s="92">
        <v>96394</v>
      </c>
      <c r="H2560" s="90" t="s">
        <v>14</v>
      </c>
      <c r="I25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60" s="90" t="s">
        <v>5887</v>
      </c>
    </row>
    <row r="2561" spans="1:11">
      <c r="A2561" s="90" t="s">
        <v>5886</v>
      </c>
      <c r="B2561" s="90" t="s">
        <v>5887</v>
      </c>
      <c r="C2561" s="90" t="s">
        <v>12</v>
      </c>
      <c r="D2561" s="90" t="str">
        <f>VLOOKUP(Tabela1[[#This Row],[Origem]],'Perguntas 1 a 24'!$J$28:$K$34,2,FALSE)</f>
        <v>Sudeste</v>
      </c>
      <c r="E2561" s="90" t="s">
        <v>13899</v>
      </c>
      <c r="F2561" s="91">
        <v>47024</v>
      </c>
      <c r="G2561" s="92">
        <v>97415</v>
      </c>
      <c r="H2561" s="90" t="s">
        <v>9</v>
      </c>
      <c r="I25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61" s="90" t="s">
        <v>8814</v>
      </c>
    </row>
    <row r="2562" spans="1:11">
      <c r="A2562" s="90" t="s">
        <v>8813</v>
      </c>
      <c r="B2562" s="90" t="s">
        <v>8814</v>
      </c>
      <c r="C2562" s="90" t="s">
        <v>13</v>
      </c>
      <c r="D2562" s="90" t="str">
        <f>VLOOKUP(Tabela1[[#This Row],[Origem]],'Perguntas 1 a 24'!$J$28:$K$34,2,FALSE)</f>
        <v>Sudeste</v>
      </c>
      <c r="E2562" s="90" t="s">
        <v>13900</v>
      </c>
      <c r="F2562" s="91">
        <v>47025</v>
      </c>
      <c r="G2562" s="92">
        <v>30889</v>
      </c>
      <c r="H2562" s="90" t="s">
        <v>9</v>
      </c>
      <c r="I25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62" s="90" t="s">
        <v>8620</v>
      </c>
    </row>
    <row r="2563" spans="1:11">
      <c r="A2563" s="90" t="s">
        <v>8619</v>
      </c>
      <c r="B2563" s="90" t="s">
        <v>8620</v>
      </c>
      <c r="C2563" s="90" t="s">
        <v>16</v>
      </c>
      <c r="D2563" s="90" t="str">
        <f>VLOOKUP(Tabela1[[#This Row],[Origem]],'Perguntas 1 a 24'!$J$28:$K$34,2,FALSE)</f>
        <v>Sudeste</v>
      </c>
      <c r="E2563" s="90" t="s">
        <v>13901</v>
      </c>
      <c r="F2563" s="91">
        <v>47026</v>
      </c>
      <c r="G2563" s="92">
        <v>72880</v>
      </c>
      <c r="H2563" s="90" t="s">
        <v>7</v>
      </c>
      <c r="I25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63" s="90" t="s">
        <v>9364</v>
      </c>
    </row>
    <row r="2564" spans="1:11">
      <c r="A2564" s="90" t="s">
        <v>9363</v>
      </c>
      <c r="B2564" s="90" t="s">
        <v>9364</v>
      </c>
      <c r="C2564" s="90" t="s">
        <v>6</v>
      </c>
      <c r="D2564" s="90" t="str">
        <f>VLOOKUP(Tabela1[[#This Row],[Origem]],'Perguntas 1 a 24'!$J$28:$K$34,2,FALSE)</f>
        <v>Nordeste</v>
      </c>
      <c r="E2564" s="90" t="s">
        <v>13902</v>
      </c>
      <c r="F2564" s="91">
        <v>47026</v>
      </c>
      <c r="G2564" s="92">
        <v>88158</v>
      </c>
      <c r="H2564" s="90" t="s">
        <v>9</v>
      </c>
      <c r="I25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64" s="90" t="s">
        <v>11150</v>
      </c>
    </row>
    <row r="2565" spans="1:11">
      <c r="A2565" s="90" t="s">
        <v>11149</v>
      </c>
      <c r="B2565" s="90" t="s">
        <v>11150</v>
      </c>
      <c r="C2565" s="90" t="s">
        <v>15</v>
      </c>
      <c r="D2565" s="90" t="str">
        <f>VLOOKUP(Tabela1[[#This Row],[Origem]],'Perguntas 1 a 24'!$J$28:$K$34,2,FALSE)</f>
        <v>Sudeste</v>
      </c>
      <c r="E2565" s="90" t="s">
        <v>13903</v>
      </c>
      <c r="F2565" s="91">
        <v>47026</v>
      </c>
      <c r="G2565" s="92">
        <v>110245</v>
      </c>
      <c r="H2565" s="90" t="s">
        <v>9</v>
      </c>
      <c r="I25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65" s="90" t="s">
        <v>5799</v>
      </c>
    </row>
    <row r="2566" spans="1:11">
      <c r="A2566" s="90" t="s">
        <v>5798</v>
      </c>
      <c r="B2566" s="90" t="s">
        <v>5799</v>
      </c>
      <c r="C2566" s="90" t="s">
        <v>8</v>
      </c>
      <c r="D2566" s="90" t="str">
        <f>VLOOKUP(Tabela1[[#This Row],[Origem]],'Perguntas 1 a 24'!$J$28:$K$34,2,FALSE)</f>
        <v>Nordeste</v>
      </c>
      <c r="E2566" s="90" t="s">
        <v>13904</v>
      </c>
      <c r="F2566" s="91">
        <v>47027</v>
      </c>
      <c r="G2566" s="92">
        <v>117068</v>
      </c>
      <c r="H2566" s="90" t="s">
        <v>7</v>
      </c>
      <c r="I25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66" s="90" t="s">
        <v>6255</v>
      </c>
    </row>
    <row r="2567" spans="1:11">
      <c r="A2567" s="90" t="s">
        <v>6254</v>
      </c>
      <c r="B2567" s="90" t="s">
        <v>6255</v>
      </c>
      <c r="C2567" s="90" t="s">
        <v>12</v>
      </c>
      <c r="D2567" s="90" t="str">
        <f>VLOOKUP(Tabela1[[#This Row],[Origem]],'Perguntas 1 a 24'!$J$28:$K$34,2,FALSE)</f>
        <v>Sudeste</v>
      </c>
      <c r="E2567" s="90" t="s">
        <v>13905</v>
      </c>
      <c r="F2567" s="91">
        <v>47027</v>
      </c>
      <c r="G2567" s="92">
        <v>67054</v>
      </c>
      <c r="H2567" s="90" t="s">
        <v>7</v>
      </c>
      <c r="I25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67" s="90" t="s">
        <v>10506</v>
      </c>
    </row>
    <row r="2568" spans="1:11">
      <c r="A2568" s="90" t="s">
        <v>10505</v>
      </c>
      <c r="B2568" s="90" t="s">
        <v>10506</v>
      </c>
      <c r="C2568" s="90" t="s">
        <v>8</v>
      </c>
      <c r="D2568" s="90" t="str">
        <f>VLOOKUP(Tabela1[[#This Row],[Origem]],'Perguntas 1 a 24'!$J$28:$K$34,2,FALSE)</f>
        <v>Nordeste</v>
      </c>
      <c r="E2568" s="90" t="s">
        <v>13906</v>
      </c>
      <c r="F2568" s="91">
        <v>47027</v>
      </c>
      <c r="G2568" s="92">
        <v>33808</v>
      </c>
      <c r="H2568" s="90" t="s">
        <v>7</v>
      </c>
      <c r="I25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68" s="90" t="s">
        <v>5007</v>
      </c>
    </row>
    <row r="2569" spans="1:11">
      <c r="A2569" s="90" t="s">
        <v>5006</v>
      </c>
      <c r="B2569" s="90" t="s">
        <v>5007</v>
      </c>
      <c r="C2569" s="90" t="s">
        <v>12</v>
      </c>
      <c r="D2569" s="90" t="str">
        <f>VLOOKUP(Tabela1[[#This Row],[Origem]],'Perguntas 1 a 24'!$J$28:$K$34,2,FALSE)</f>
        <v>Sudeste</v>
      </c>
      <c r="E2569" s="90" t="s">
        <v>13907</v>
      </c>
      <c r="F2569" s="91">
        <v>47029</v>
      </c>
      <c r="G2569" s="92">
        <v>87702</v>
      </c>
      <c r="H2569" s="90" t="s">
        <v>14</v>
      </c>
      <c r="I25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69" s="90" t="s">
        <v>4905</v>
      </c>
    </row>
    <row r="2570" spans="1:11">
      <c r="A2570" s="90" t="s">
        <v>4904</v>
      </c>
      <c r="B2570" s="90" t="s">
        <v>4905</v>
      </c>
      <c r="C2570" s="90" t="s">
        <v>13</v>
      </c>
      <c r="D2570" s="90" t="str">
        <f>VLOOKUP(Tabela1[[#This Row],[Origem]],'Perguntas 1 a 24'!$J$28:$K$34,2,FALSE)</f>
        <v>Sudeste</v>
      </c>
      <c r="E2570" s="90" t="s">
        <v>13908</v>
      </c>
      <c r="F2570" s="91">
        <v>47030</v>
      </c>
      <c r="G2570" s="92">
        <v>50824</v>
      </c>
      <c r="H2570" s="90" t="s">
        <v>11</v>
      </c>
      <c r="I25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70" s="90" t="s">
        <v>4759</v>
      </c>
    </row>
    <row r="2571" spans="1:11">
      <c r="A2571" s="90" t="s">
        <v>4758</v>
      </c>
      <c r="B2571" s="90" t="s">
        <v>4759</v>
      </c>
      <c r="C2571" s="90" t="s">
        <v>6</v>
      </c>
      <c r="D2571" s="90" t="str">
        <f>VLOOKUP(Tabela1[[#This Row],[Origem]],'Perguntas 1 a 24'!$J$28:$K$34,2,FALSE)</f>
        <v>Nordeste</v>
      </c>
      <c r="E2571" s="90" t="s">
        <v>13909</v>
      </c>
      <c r="F2571" s="91">
        <v>47031</v>
      </c>
      <c r="G2571" s="92">
        <v>48583</v>
      </c>
      <c r="H2571" s="90" t="s">
        <v>9</v>
      </c>
      <c r="I25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71" s="90" t="s">
        <v>5961</v>
      </c>
    </row>
    <row r="2572" spans="1:11">
      <c r="A2572" s="90" t="s">
        <v>5960</v>
      </c>
      <c r="B2572" s="90" t="s">
        <v>5961</v>
      </c>
      <c r="C2572" s="90" t="s">
        <v>15</v>
      </c>
      <c r="D2572" s="90" t="str">
        <f>VLOOKUP(Tabela1[[#This Row],[Origem]],'Perguntas 1 a 24'!$J$28:$K$34,2,FALSE)</f>
        <v>Sudeste</v>
      </c>
      <c r="E2572" s="90" t="s">
        <v>13910</v>
      </c>
      <c r="F2572" s="91">
        <v>47031</v>
      </c>
      <c r="G2572" s="92">
        <v>48768</v>
      </c>
      <c r="H2572" s="90" t="s">
        <v>9</v>
      </c>
      <c r="I25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72" s="90" t="s">
        <v>8564</v>
      </c>
    </row>
    <row r="2573" spans="1:11">
      <c r="A2573" s="90" t="s">
        <v>8563</v>
      </c>
      <c r="B2573" s="90" t="s">
        <v>8564</v>
      </c>
      <c r="C2573" s="90" t="s">
        <v>16</v>
      </c>
      <c r="D2573" s="90" t="str">
        <f>VLOOKUP(Tabela1[[#This Row],[Origem]],'Perguntas 1 a 24'!$J$28:$K$34,2,FALSE)</f>
        <v>Sudeste</v>
      </c>
      <c r="E2573" s="90" t="s">
        <v>13911</v>
      </c>
      <c r="F2573" s="91">
        <v>47031</v>
      </c>
      <c r="G2573" s="92">
        <v>33757</v>
      </c>
      <c r="H2573" s="90" t="s">
        <v>11</v>
      </c>
      <c r="I25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73" s="90" t="s">
        <v>5253</v>
      </c>
    </row>
    <row r="2574" spans="1:11">
      <c r="A2574" s="90" t="s">
        <v>5252</v>
      </c>
      <c r="B2574" s="90" t="s">
        <v>5253</v>
      </c>
      <c r="C2574" s="90" t="s">
        <v>12</v>
      </c>
      <c r="D2574" s="90" t="str">
        <f>VLOOKUP(Tabela1[[#This Row],[Origem]],'Perguntas 1 a 24'!$J$28:$K$34,2,FALSE)</f>
        <v>Sudeste</v>
      </c>
      <c r="E2574" s="90" t="s">
        <v>13912</v>
      </c>
      <c r="F2574" s="91">
        <v>47032</v>
      </c>
      <c r="G2574" s="92">
        <v>21694</v>
      </c>
      <c r="H2574" s="90" t="s">
        <v>9</v>
      </c>
      <c r="I25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74" s="90" t="s">
        <v>5291</v>
      </c>
    </row>
    <row r="2575" spans="1:11">
      <c r="A2575" s="90" t="s">
        <v>5290</v>
      </c>
      <c r="B2575" s="90" t="s">
        <v>5291</v>
      </c>
      <c r="C2575" s="90" t="s">
        <v>12</v>
      </c>
      <c r="D2575" s="90" t="str">
        <f>VLOOKUP(Tabela1[[#This Row],[Origem]],'Perguntas 1 a 24'!$J$28:$K$34,2,FALSE)</f>
        <v>Sudeste</v>
      </c>
      <c r="E2575" s="90" t="s">
        <v>13913</v>
      </c>
      <c r="F2575" s="91">
        <v>47035</v>
      </c>
      <c r="G2575" s="92">
        <v>86543</v>
      </c>
      <c r="H2575" s="90" t="s">
        <v>11</v>
      </c>
      <c r="I25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75" s="90" t="s">
        <v>5883</v>
      </c>
    </row>
    <row r="2576" spans="1:11">
      <c r="A2576" s="90" t="s">
        <v>5882</v>
      </c>
      <c r="B2576" s="90" t="s">
        <v>5883</v>
      </c>
      <c r="C2576" s="90" t="s">
        <v>6</v>
      </c>
      <c r="D2576" s="90" t="str">
        <f>VLOOKUP(Tabela1[[#This Row],[Origem]],'Perguntas 1 a 24'!$J$28:$K$34,2,FALSE)</f>
        <v>Nordeste</v>
      </c>
      <c r="E2576" s="90" t="s">
        <v>13914</v>
      </c>
      <c r="F2576" s="91">
        <v>47035</v>
      </c>
      <c r="G2576" s="92">
        <v>83073</v>
      </c>
      <c r="H2576" s="90" t="s">
        <v>11</v>
      </c>
      <c r="I25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76" s="90" t="s">
        <v>5069</v>
      </c>
    </row>
    <row r="2577" spans="1:11">
      <c r="A2577" s="90" t="s">
        <v>5068</v>
      </c>
      <c r="B2577" s="90" t="s">
        <v>5069</v>
      </c>
      <c r="C2577" s="90" t="s">
        <v>10</v>
      </c>
      <c r="D2577" s="90" t="str">
        <f>VLOOKUP(Tabela1[[#This Row],[Origem]],'Perguntas 1 a 24'!$J$28:$K$34,2,FALSE)</f>
        <v>Centro-Oeste</v>
      </c>
      <c r="E2577" s="90" t="s">
        <v>13915</v>
      </c>
      <c r="F2577" s="91">
        <v>47036</v>
      </c>
      <c r="G2577" s="92">
        <v>48294</v>
      </c>
      <c r="H2577" s="90" t="s">
        <v>14</v>
      </c>
      <c r="I25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77" s="90" t="s">
        <v>8538</v>
      </c>
    </row>
    <row r="2578" spans="1:11">
      <c r="A2578" s="90" t="s">
        <v>8537</v>
      </c>
      <c r="B2578" s="90" t="s">
        <v>8538</v>
      </c>
      <c r="C2578" s="90" t="s">
        <v>16</v>
      </c>
      <c r="D2578" s="90" t="str">
        <f>VLOOKUP(Tabela1[[#This Row],[Origem]],'Perguntas 1 a 24'!$J$28:$K$34,2,FALSE)</f>
        <v>Sudeste</v>
      </c>
      <c r="E2578" s="90" t="s">
        <v>13916</v>
      </c>
      <c r="F2578" s="91">
        <v>47036</v>
      </c>
      <c r="G2578" s="92">
        <v>32308</v>
      </c>
      <c r="H2578" s="90" t="s">
        <v>7</v>
      </c>
      <c r="I25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78" s="90" t="s">
        <v>7121</v>
      </c>
    </row>
    <row r="2579" spans="1:11">
      <c r="A2579" s="90" t="s">
        <v>7120</v>
      </c>
      <c r="B2579" s="90" t="s">
        <v>7121</v>
      </c>
      <c r="C2579" s="90" t="s">
        <v>10</v>
      </c>
      <c r="D2579" s="90" t="str">
        <f>VLOOKUP(Tabela1[[#This Row],[Origem]],'Perguntas 1 a 24'!$J$28:$K$34,2,FALSE)</f>
        <v>Centro-Oeste</v>
      </c>
      <c r="E2579" s="90" t="s">
        <v>13917</v>
      </c>
      <c r="F2579" s="91">
        <v>47038</v>
      </c>
      <c r="G2579" s="92">
        <v>36036</v>
      </c>
      <c r="H2579" s="90" t="s">
        <v>14</v>
      </c>
      <c r="I25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79" s="90" t="s">
        <v>10032</v>
      </c>
    </row>
    <row r="2580" spans="1:11">
      <c r="A2580" s="90" t="s">
        <v>10031</v>
      </c>
      <c r="B2580" s="90" t="s">
        <v>10032</v>
      </c>
      <c r="C2580" s="90" t="s">
        <v>6</v>
      </c>
      <c r="D2580" s="90" t="str">
        <f>VLOOKUP(Tabela1[[#This Row],[Origem]],'Perguntas 1 a 24'!$J$28:$K$34,2,FALSE)</f>
        <v>Nordeste</v>
      </c>
      <c r="E2580" s="90" t="s">
        <v>13918</v>
      </c>
      <c r="F2580" s="91">
        <v>47040</v>
      </c>
      <c r="G2580" s="92">
        <v>60569</v>
      </c>
      <c r="H2580" s="90" t="s">
        <v>14</v>
      </c>
      <c r="I25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80" s="90" t="s">
        <v>11033</v>
      </c>
    </row>
    <row r="2581" spans="1:11">
      <c r="A2581" s="90" t="s">
        <v>11032</v>
      </c>
      <c r="B2581" s="90" t="s">
        <v>11033</v>
      </c>
      <c r="C2581" s="90" t="s">
        <v>15</v>
      </c>
      <c r="D2581" s="90" t="str">
        <f>VLOOKUP(Tabela1[[#This Row],[Origem]],'Perguntas 1 a 24'!$J$28:$K$34,2,FALSE)</f>
        <v>Sudeste</v>
      </c>
      <c r="E2581" s="90" t="s">
        <v>13919</v>
      </c>
      <c r="F2581" s="91">
        <v>47042</v>
      </c>
      <c r="G2581" s="92">
        <v>114437</v>
      </c>
      <c r="H2581" s="90" t="s">
        <v>11</v>
      </c>
      <c r="I25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81" s="90" t="s">
        <v>7577</v>
      </c>
    </row>
    <row r="2582" spans="1:11">
      <c r="A2582" s="90" t="s">
        <v>7576</v>
      </c>
      <c r="B2582" s="90" t="s">
        <v>7577</v>
      </c>
      <c r="C2582" s="90" t="s">
        <v>12</v>
      </c>
      <c r="D2582" s="90" t="str">
        <f>VLOOKUP(Tabela1[[#This Row],[Origem]],'Perguntas 1 a 24'!$J$28:$K$34,2,FALSE)</f>
        <v>Sudeste</v>
      </c>
      <c r="E2582" s="90" t="s">
        <v>13920</v>
      </c>
      <c r="F2582" s="91">
        <v>47043</v>
      </c>
      <c r="G2582" s="92">
        <v>66772</v>
      </c>
      <c r="H2582" s="90" t="s">
        <v>7</v>
      </c>
      <c r="I25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82" s="90" t="s">
        <v>6281</v>
      </c>
    </row>
    <row r="2583" spans="1:11">
      <c r="A2583" s="90" t="s">
        <v>6280</v>
      </c>
      <c r="B2583" s="90" t="s">
        <v>6281</v>
      </c>
      <c r="C2583" s="90" t="s">
        <v>15</v>
      </c>
      <c r="D2583" s="90" t="str">
        <f>VLOOKUP(Tabela1[[#This Row],[Origem]],'Perguntas 1 a 24'!$J$28:$K$34,2,FALSE)</f>
        <v>Sudeste</v>
      </c>
      <c r="E2583" s="90" t="s">
        <v>13921</v>
      </c>
      <c r="F2583" s="91">
        <v>47044</v>
      </c>
      <c r="G2583" s="92">
        <v>51157</v>
      </c>
      <c r="H2583" s="90" t="s">
        <v>14</v>
      </c>
      <c r="I25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83" s="90" t="s">
        <v>8279</v>
      </c>
    </row>
    <row r="2584" spans="1:11">
      <c r="A2584" s="90" t="s">
        <v>8278</v>
      </c>
      <c r="B2584" s="90" t="s">
        <v>8279</v>
      </c>
      <c r="C2584" s="90" t="s">
        <v>6</v>
      </c>
      <c r="D2584" s="90" t="str">
        <f>VLOOKUP(Tabela1[[#This Row],[Origem]],'Perguntas 1 a 24'!$J$28:$K$34,2,FALSE)</f>
        <v>Nordeste</v>
      </c>
      <c r="E2584" s="90" t="s">
        <v>13922</v>
      </c>
      <c r="F2584" s="91">
        <v>47045</v>
      </c>
      <c r="G2584" s="92">
        <v>23740</v>
      </c>
      <c r="H2584" s="90" t="s">
        <v>9</v>
      </c>
      <c r="I25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84" s="90" t="s">
        <v>6763</v>
      </c>
    </row>
    <row r="2585" spans="1:11">
      <c r="A2585" s="90" t="s">
        <v>6762</v>
      </c>
      <c r="B2585" s="90" t="s">
        <v>6763</v>
      </c>
      <c r="C2585" s="90" t="s">
        <v>6</v>
      </c>
      <c r="D2585" s="90" t="str">
        <f>VLOOKUP(Tabela1[[#This Row],[Origem]],'Perguntas 1 a 24'!$J$28:$K$34,2,FALSE)</f>
        <v>Nordeste</v>
      </c>
      <c r="E2585" s="90" t="s">
        <v>13923</v>
      </c>
      <c r="F2585" s="91">
        <v>47046</v>
      </c>
      <c r="G2585" s="92">
        <v>96751</v>
      </c>
      <c r="H2585" s="90" t="s">
        <v>11</v>
      </c>
      <c r="I25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85" s="90" t="s">
        <v>8225</v>
      </c>
    </row>
    <row r="2586" spans="1:11">
      <c r="A2586" s="90" t="s">
        <v>8224</v>
      </c>
      <c r="B2586" s="90" t="s">
        <v>8225</v>
      </c>
      <c r="C2586" s="90" t="s">
        <v>13</v>
      </c>
      <c r="D2586" s="90" t="str">
        <f>VLOOKUP(Tabela1[[#This Row],[Origem]],'Perguntas 1 a 24'!$J$28:$K$34,2,FALSE)</f>
        <v>Sudeste</v>
      </c>
      <c r="E2586" s="90" t="s">
        <v>13924</v>
      </c>
      <c r="F2586" s="91">
        <v>47047</v>
      </c>
      <c r="G2586" s="92">
        <v>45735</v>
      </c>
      <c r="H2586" s="90" t="s">
        <v>7</v>
      </c>
      <c r="I25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86" s="90" t="s">
        <v>7553</v>
      </c>
    </row>
    <row r="2587" spans="1:11">
      <c r="A2587" s="90" t="s">
        <v>7552</v>
      </c>
      <c r="B2587" s="90" t="s">
        <v>7553</v>
      </c>
      <c r="C2587" s="90" t="s">
        <v>15</v>
      </c>
      <c r="D2587" s="90" t="str">
        <f>VLOOKUP(Tabela1[[#This Row],[Origem]],'Perguntas 1 a 24'!$J$28:$K$34,2,FALSE)</f>
        <v>Sudeste</v>
      </c>
      <c r="E2587" s="90" t="s">
        <v>13925</v>
      </c>
      <c r="F2587" s="91">
        <v>47048</v>
      </c>
      <c r="G2587" s="92">
        <v>89104</v>
      </c>
      <c r="H2587" s="90" t="s">
        <v>7</v>
      </c>
      <c r="I25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87" s="90" t="s">
        <v>8445</v>
      </c>
    </row>
    <row r="2588" spans="1:11">
      <c r="A2588" s="90" t="s">
        <v>8444</v>
      </c>
      <c r="B2588" s="90" t="s">
        <v>8445</v>
      </c>
      <c r="C2588" s="90" t="s">
        <v>16</v>
      </c>
      <c r="D2588" s="90" t="str">
        <f>VLOOKUP(Tabela1[[#This Row],[Origem]],'Perguntas 1 a 24'!$J$28:$K$34,2,FALSE)</f>
        <v>Sudeste</v>
      </c>
      <c r="E2588" s="90" t="s">
        <v>13926</v>
      </c>
      <c r="F2588" s="91">
        <v>47048</v>
      </c>
      <c r="G2588" s="92">
        <v>21178</v>
      </c>
      <c r="H2588" s="90" t="s">
        <v>9</v>
      </c>
      <c r="I25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88" s="90" t="s">
        <v>10536</v>
      </c>
    </row>
    <row r="2589" spans="1:11">
      <c r="A2589" s="90" t="s">
        <v>10535</v>
      </c>
      <c r="B2589" s="90" t="s">
        <v>10536</v>
      </c>
      <c r="C2589" s="90" t="s">
        <v>8</v>
      </c>
      <c r="D2589" s="90" t="str">
        <f>VLOOKUP(Tabela1[[#This Row],[Origem]],'Perguntas 1 a 24'!$J$28:$K$34,2,FALSE)</f>
        <v>Nordeste</v>
      </c>
      <c r="E2589" s="90" t="s">
        <v>13927</v>
      </c>
      <c r="F2589" s="91">
        <v>47049</v>
      </c>
      <c r="G2589" s="92">
        <v>23138</v>
      </c>
      <c r="H2589" s="90" t="s">
        <v>14</v>
      </c>
      <c r="I25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89" s="90" t="s">
        <v>7809</v>
      </c>
    </row>
    <row r="2590" spans="1:11">
      <c r="A2590" s="90" t="s">
        <v>7808</v>
      </c>
      <c r="B2590" s="90" t="s">
        <v>7809</v>
      </c>
      <c r="C2590" s="90" t="s">
        <v>10</v>
      </c>
      <c r="D2590" s="90" t="str">
        <f>VLOOKUP(Tabela1[[#This Row],[Origem]],'Perguntas 1 a 24'!$J$28:$K$34,2,FALSE)</f>
        <v>Centro-Oeste</v>
      </c>
      <c r="E2590" s="90" t="s">
        <v>13928</v>
      </c>
      <c r="F2590" s="91">
        <v>47050</v>
      </c>
      <c r="G2590" s="92">
        <v>57704</v>
      </c>
      <c r="H2590" s="90" t="s">
        <v>9</v>
      </c>
      <c r="I25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90" s="90" t="s">
        <v>11330</v>
      </c>
    </row>
    <row r="2591" spans="1:11">
      <c r="A2591" s="90" t="s">
        <v>11329</v>
      </c>
      <c r="B2591" s="90" t="s">
        <v>11330</v>
      </c>
      <c r="C2591" s="90" t="s">
        <v>6</v>
      </c>
      <c r="D2591" s="90" t="str">
        <f>VLOOKUP(Tabela1[[#This Row],[Origem]],'Perguntas 1 a 24'!$J$28:$K$34,2,FALSE)</f>
        <v>Nordeste</v>
      </c>
      <c r="E2591" s="90" t="s">
        <v>13929</v>
      </c>
      <c r="F2591" s="91">
        <v>47051</v>
      </c>
      <c r="G2591" s="92">
        <v>44909</v>
      </c>
      <c r="H2591" s="90" t="s">
        <v>11</v>
      </c>
      <c r="I25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91" s="90" t="s">
        <v>7201</v>
      </c>
    </row>
    <row r="2592" spans="1:11">
      <c r="A2592" s="90" t="s">
        <v>7200</v>
      </c>
      <c r="B2592" s="90" t="s">
        <v>7201</v>
      </c>
      <c r="C2592" s="90" t="s">
        <v>10</v>
      </c>
      <c r="D2592" s="90" t="str">
        <f>VLOOKUP(Tabela1[[#This Row],[Origem]],'Perguntas 1 a 24'!$J$28:$K$34,2,FALSE)</f>
        <v>Centro-Oeste</v>
      </c>
      <c r="E2592" s="90" t="s">
        <v>13930</v>
      </c>
      <c r="F2592" s="91">
        <v>47052</v>
      </c>
      <c r="G2592" s="92">
        <v>63452</v>
      </c>
      <c r="H2592" s="90" t="s">
        <v>11</v>
      </c>
      <c r="I25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92" s="90" t="s">
        <v>7923</v>
      </c>
    </row>
    <row r="2593" spans="1:11">
      <c r="A2593" s="90" t="s">
        <v>7922</v>
      </c>
      <c r="B2593" s="90" t="s">
        <v>7923</v>
      </c>
      <c r="C2593" s="90" t="s">
        <v>8</v>
      </c>
      <c r="D2593" s="90" t="str">
        <f>VLOOKUP(Tabela1[[#This Row],[Origem]],'Perguntas 1 a 24'!$J$28:$K$34,2,FALSE)</f>
        <v>Nordeste</v>
      </c>
      <c r="E2593" s="90" t="s">
        <v>13931</v>
      </c>
      <c r="F2593" s="91">
        <v>47054</v>
      </c>
      <c r="G2593" s="92">
        <v>39724</v>
      </c>
      <c r="H2593" s="90" t="s">
        <v>14</v>
      </c>
      <c r="I25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93" s="90" t="s">
        <v>9170</v>
      </c>
    </row>
    <row r="2594" spans="1:11">
      <c r="A2594" s="90" t="s">
        <v>9169</v>
      </c>
      <c r="B2594" s="90" t="s">
        <v>9170</v>
      </c>
      <c r="C2594" s="90" t="s">
        <v>8</v>
      </c>
      <c r="D2594" s="90" t="str">
        <f>VLOOKUP(Tabela1[[#This Row],[Origem]],'Perguntas 1 a 24'!$J$28:$K$34,2,FALSE)</f>
        <v>Nordeste</v>
      </c>
      <c r="E2594" s="90" t="s">
        <v>13932</v>
      </c>
      <c r="F2594" s="91">
        <v>47054</v>
      </c>
      <c r="G2594" s="92">
        <v>34465</v>
      </c>
      <c r="H2594" s="90" t="s">
        <v>9</v>
      </c>
      <c r="I25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594" s="90" t="s">
        <v>4113</v>
      </c>
    </row>
    <row r="2595" spans="1:11">
      <c r="A2595" s="90" t="s">
        <v>4112</v>
      </c>
      <c r="B2595" s="90" t="s">
        <v>4113</v>
      </c>
      <c r="C2595" s="90" t="s">
        <v>8</v>
      </c>
      <c r="D2595" s="90" t="str">
        <f>VLOOKUP(Tabela1[[#This Row],[Origem]],'Perguntas 1 a 24'!$J$28:$K$34,2,FALSE)</f>
        <v>Nordeste</v>
      </c>
      <c r="E2595" s="90" t="s">
        <v>13933</v>
      </c>
      <c r="F2595" s="91">
        <v>47056</v>
      </c>
      <c r="G2595" s="92">
        <v>113563</v>
      </c>
      <c r="H2595" s="90" t="s">
        <v>14</v>
      </c>
      <c r="I25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95" s="90" t="s">
        <v>4771</v>
      </c>
    </row>
    <row r="2596" spans="1:11">
      <c r="A2596" s="90" t="s">
        <v>4770</v>
      </c>
      <c r="B2596" s="90" t="s">
        <v>4771</v>
      </c>
      <c r="C2596" s="90" t="s">
        <v>13</v>
      </c>
      <c r="D2596" s="90" t="str">
        <f>VLOOKUP(Tabela1[[#This Row],[Origem]],'Perguntas 1 a 24'!$J$28:$K$34,2,FALSE)</f>
        <v>Sudeste</v>
      </c>
      <c r="E2596" s="90" t="s">
        <v>13934</v>
      </c>
      <c r="F2596" s="91">
        <v>47056</v>
      </c>
      <c r="G2596" s="92">
        <v>98844</v>
      </c>
      <c r="H2596" s="90" t="s">
        <v>7</v>
      </c>
      <c r="I25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96" s="90" t="s">
        <v>10548</v>
      </c>
    </row>
    <row r="2597" spans="1:11">
      <c r="A2597" s="90" t="s">
        <v>10547</v>
      </c>
      <c r="B2597" s="90" t="s">
        <v>10548</v>
      </c>
      <c r="C2597" s="90" t="s">
        <v>13</v>
      </c>
      <c r="D2597" s="90" t="str">
        <f>VLOOKUP(Tabela1[[#This Row],[Origem]],'Perguntas 1 a 24'!$J$28:$K$34,2,FALSE)</f>
        <v>Sudeste</v>
      </c>
      <c r="E2597" s="90" t="s">
        <v>13935</v>
      </c>
      <c r="F2597" s="91">
        <v>47056</v>
      </c>
      <c r="G2597" s="92">
        <v>105466</v>
      </c>
      <c r="H2597" s="90" t="s">
        <v>11</v>
      </c>
      <c r="I25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97" s="90" t="s">
        <v>3845</v>
      </c>
    </row>
    <row r="2598" spans="1:11">
      <c r="A2598" s="90" t="s">
        <v>3844</v>
      </c>
      <c r="B2598" s="90" t="s">
        <v>3845</v>
      </c>
      <c r="C2598" s="90" t="s">
        <v>13</v>
      </c>
      <c r="D2598" s="90" t="str">
        <f>VLOOKUP(Tabela1[[#This Row],[Origem]],'Perguntas 1 a 24'!$J$28:$K$34,2,FALSE)</f>
        <v>Sudeste</v>
      </c>
      <c r="E2598" s="90" t="s">
        <v>13936</v>
      </c>
      <c r="F2598" s="91">
        <v>47058</v>
      </c>
      <c r="G2598" s="92">
        <v>94856</v>
      </c>
      <c r="H2598" s="90" t="s">
        <v>14</v>
      </c>
      <c r="I25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98" s="90" t="s">
        <v>5593</v>
      </c>
    </row>
    <row r="2599" spans="1:11">
      <c r="A2599" s="90" t="s">
        <v>5592</v>
      </c>
      <c r="B2599" s="90" t="s">
        <v>5593</v>
      </c>
      <c r="C2599" s="90" t="s">
        <v>16</v>
      </c>
      <c r="D2599" s="90" t="str">
        <f>VLOOKUP(Tabela1[[#This Row],[Origem]],'Perguntas 1 a 24'!$J$28:$K$34,2,FALSE)</f>
        <v>Sudeste</v>
      </c>
      <c r="E2599" s="90" t="s">
        <v>13937</v>
      </c>
      <c r="F2599" s="91">
        <v>47058</v>
      </c>
      <c r="G2599" s="92">
        <v>54377</v>
      </c>
      <c r="H2599" s="90" t="s">
        <v>7</v>
      </c>
      <c r="I25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599" s="90" t="s">
        <v>8535</v>
      </c>
    </row>
    <row r="2600" spans="1:11">
      <c r="A2600" s="90" t="s">
        <v>8534</v>
      </c>
      <c r="B2600" s="90" t="s">
        <v>8535</v>
      </c>
      <c r="C2600" s="90" t="s">
        <v>15</v>
      </c>
      <c r="D2600" s="90" t="str">
        <f>VLOOKUP(Tabela1[[#This Row],[Origem]],'Perguntas 1 a 24'!$J$28:$K$34,2,FALSE)</f>
        <v>Sudeste</v>
      </c>
      <c r="E2600" s="90" t="s">
        <v>13938</v>
      </c>
      <c r="F2600" s="91">
        <v>47058</v>
      </c>
      <c r="G2600" s="92">
        <v>41544</v>
      </c>
      <c r="H2600" s="90" t="s">
        <v>7</v>
      </c>
      <c r="I26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00" s="90" t="s">
        <v>8736</v>
      </c>
    </row>
    <row r="2601" spans="1:11">
      <c r="A2601" s="90" t="s">
        <v>8735</v>
      </c>
      <c r="B2601" s="90" t="s">
        <v>8736</v>
      </c>
      <c r="C2601" s="90" t="s">
        <v>13</v>
      </c>
      <c r="D2601" s="90" t="str">
        <f>VLOOKUP(Tabela1[[#This Row],[Origem]],'Perguntas 1 a 24'!$J$28:$K$34,2,FALSE)</f>
        <v>Sudeste</v>
      </c>
      <c r="E2601" s="90" t="s">
        <v>13939</v>
      </c>
      <c r="F2601" s="91">
        <v>47058</v>
      </c>
      <c r="G2601" s="92">
        <v>97216</v>
      </c>
      <c r="H2601" s="90" t="s">
        <v>14</v>
      </c>
      <c r="I26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01" s="90" t="s">
        <v>4533</v>
      </c>
    </row>
    <row r="2602" spans="1:11">
      <c r="A2602" s="90" t="s">
        <v>4532</v>
      </c>
      <c r="B2602" s="90" t="s">
        <v>4533</v>
      </c>
      <c r="C2602" s="90" t="s">
        <v>8</v>
      </c>
      <c r="D2602" s="90" t="str">
        <f>VLOOKUP(Tabela1[[#This Row],[Origem]],'Perguntas 1 a 24'!$J$28:$K$34,2,FALSE)</f>
        <v>Nordeste</v>
      </c>
      <c r="E2602" s="90" t="s">
        <v>13940</v>
      </c>
      <c r="F2602" s="91">
        <v>47060</v>
      </c>
      <c r="G2602" s="92">
        <v>50248</v>
      </c>
      <c r="H2602" s="90" t="s">
        <v>11</v>
      </c>
      <c r="I26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02" s="90" t="s">
        <v>7515</v>
      </c>
    </row>
    <row r="2603" spans="1:11">
      <c r="A2603" s="90" t="s">
        <v>7514</v>
      </c>
      <c r="B2603" s="90" t="s">
        <v>7515</v>
      </c>
      <c r="C2603" s="90" t="s">
        <v>8</v>
      </c>
      <c r="D2603" s="90" t="str">
        <f>VLOOKUP(Tabela1[[#This Row],[Origem]],'Perguntas 1 a 24'!$J$28:$K$34,2,FALSE)</f>
        <v>Nordeste</v>
      </c>
      <c r="E2603" s="90" t="s">
        <v>13941</v>
      </c>
      <c r="F2603" s="91">
        <v>47060</v>
      </c>
      <c r="G2603" s="92">
        <v>45490</v>
      </c>
      <c r="H2603" s="90" t="s">
        <v>14</v>
      </c>
      <c r="I26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03" s="90" t="s">
        <v>5333</v>
      </c>
    </row>
    <row r="2604" spans="1:11">
      <c r="A2604" s="90" t="s">
        <v>5332</v>
      </c>
      <c r="B2604" s="90" t="s">
        <v>5333</v>
      </c>
      <c r="C2604" s="90" t="s">
        <v>13</v>
      </c>
      <c r="D2604" s="90" t="str">
        <f>VLOOKUP(Tabela1[[#This Row],[Origem]],'Perguntas 1 a 24'!$J$28:$K$34,2,FALSE)</f>
        <v>Sudeste</v>
      </c>
      <c r="E2604" s="90" t="s">
        <v>13942</v>
      </c>
      <c r="F2604" s="91">
        <v>47061</v>
      </c>
      <c r="G2604" s="92">
        <v>88891</v>
      </c>
      <c r="H2604" s="90" t="s">
        <v>7</v>
      </c>
      <c r="I26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04" s="90" t="s">
        <v>4675</v>
      </c>
    </row>
    <row r="2605" spans="1:11">
      <c r="A2605" s="90" t="s">
        <v>4674</v>
      </c>
      <c r="B2605" s="90" t="s">
        <v>4675</v>
      </c>
      <c r="C2605" s="90" t="s">
        <v>10</v>
      </c>
      <c r="D2605" s="90" t="str">
        <f>VLOOKUP(Tabela1[[#This Row],[Origem]],'Perguntas 1 a 24'!$J$28:$K$34,2,FALSE)</f>
        <v>Centro-Oeste</v>
      </c>
      <c r="E2605" s="90" t="s">
        <v>13943</v>
      </c>
      <c r="F2605" s="91">
        <v>47062</v>
      </c>
      <c r="G2605" s="92">
        <v>53064</v>
      </c>
      <c r="H2605" s="90" t="s">
        <v>7</v>
      </c>
      <c r="I26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05" s="90" t="s">
        <v>9906</v>
      </c>
    </row>
    <row r="2606" spans="1:11">
      <c r="A2606" s="90" t="s">
        <v>9905</v>
      </c>
      <c r="B2606" s="90" t="s">
        <v>9906</v>
      </c>
      <c r="C2606" s="90" t="s">
        <v>12</v>
      </c>
      <c r="D2606" s="90" t="str">
        <f>VLOOKUP(Tabela1[[#This Row],[Origem]],'Perguntas 1 a 24'!$J$28:$K$34,2,FALSE)</f>
        <v>Sudeste</v>
      </c>
      <c r="E2606" s="90" t="s">
        <v>13944</v>
      </c>
      <c r="F2606" s="91">
        <v>47062</v>
      </c>
      <c r="G2606" s="92">
        <v>114621</v>
      </c>
      <c r="H2606" s="90" t="s">
        <v>14</v>
      </c>
      <c r="I26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06" s="90" t="s">
        <v>7415</v>
      </c>
    </row>
    <row r="2607" spans="1:11">
      <c r="A2607" s="90" t="s">
        <v>7414</v>
      </c>
      <c r="B2607" s="90" t="s">
        <v>7415</v>
      </c>
      <c r="C2607" s="90" t="s">
        <v>15</v>
      </c>
      <c r="D2607" s="90" t="str">
        <f>VLOOKUP(Tabela1[[#This Row],[Origem]],'Perguntas 1 a 24'!$J$28:$K$34,2,FALSE)</f>
        <v>Sudeste</v>
      </c>
      <c r="E2607" s="90" t="s">
        <v>13945</v>
      </c>
      <c r="F2607" s="91">
        <v>47063</v>
      </c>
      <c r="G2607" s="92">
        <v>51909</v>
      </c>
      <c r="H2607" s="90" t="s">
        <v>14</v>
      </c>
      <c r="I26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07" s="90" t="s">
        <v>8335</v>
      </c>
    </row>
    <row r="2608" spans="1:11">
      <c r="A2608" s="90" t="s">
        <v>8334</v>
      </c>
      <c r="B2608" s="90" t="s">
        <v>8335</v>
      </c>
      <c r="C2608" s="90" t="s">
        <v>13</v>
      </c>
      <c r="D2608" s="90" t="str">
        <f>VLOOKUP(Tabela1[[#This Row],[Origem]],'Perguntas 1 a 24'!$J$28:$K$34,2,FALSE)</f>
        <v>Sudeste</v>
      </c>
      <c r="E2608" s="90" t="s">
        <v>13946</v>
      </c>
      <c r="F2608" s="91">
        <v>47063</v>
      </c>
      <c r="G2608" s="92">
        <v>110663</v>
      </c>
      <c r="H2608" s="90" t="s">
        <v>14</v>
      </c>
      <c r="I26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08" s="90" t="s">
        <v>5587</v>
      </c>
    </row>
    <row r="2609" spans="1:11">
      <c r="A2609" s="90" t="s">
        <v>5586</v>
      </c>
      <c r="B2609" s="90" t="s">
        <v>5587</v>
      </c>
      <c r="C2609" s="90" t="s">
        <v>16</v>
      </c>
      <c r="D2609" s="90" t="str">
        <f>VLOOKUP(Tabela1[[#This Row],[Origem]],'Perguntas 1 a 24'!$J$28:$K$34,2,FALSE)</f>
        <v>Sudeste</v>
      </c>
      <c r="E2609" s="90" t="s">
        <v>13947</v>
      </c>
      <c r="F2609" s="91">
        <v>47064</v>
      </c>
      <c r="G2609" s="92">
        <v>38243</v>
      </c>
      <c r="H2609" s="90" t="s">
        <v>14</v>
      </c>
      <c r="I26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09" s="90" t="s">
        <v>8281</v>
      </c>
    </row>
    <row r="2610" spans="1:11">
      <c r="A2610" s="90" t="s">
        <v>8280</v>
      </c>
      <c r="B2610" s="90" t="s">
        <v>8281</v>
      </c>
      <c r="C2610" s="90" t="s">
        <v>6</v>
      </c>
      <c r="D2610" s="90" t="str">
        <f>VLOOKUP(Tabela1[[#This Row],[Origem]],'Perguntas 1 a 24'!$J$28:$K$34,2,FALSE)</f>
        <v>Nordeste</v>
      </c>
      <c r="E2610" s="90" t="s">
        <v>13948</v>
      </c>
      <c r="F2610" s="91">
        <v>47064</v>
      </c>
      <c r="G2610" s="92">
        <v>31073</v>
      </c>
      <c r="H2610" s="90" t="s">
        <v>11</v>
      </c>
      <c r="I26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10" s="90" t="s">
        <v>5483</v>
      </c>
    </row>
    <row r="2611" spans="1:11">
      <c r="A2611" s="90" t="s">
        <v>5482</v>
      </c>
      <c r="B2611" s="90" t="s">
        <v>5483</v>
      </c>
      <c r="C2611" s="90" t="s">
        <v>12</v>
      </c>
      <c r="D2611" s="90" t="str">
        <f>VLOOKUP(Tabela1[[#This Row],[Origem]],'Perguntas 1 a 24'!$J$28:$K$34,2,FALSE)</f>
        <v>Sudeste</v>
      </c>
      <c r="E2611" s="90" t="s">
        <v>13949</v>
      </c>
      <c r="F2611" s="91">
        <v>47065</v>
      </c>
      <c r="G2611" s="92">
        <v>109619</v>
      </c>
      <c r="H2611" s="90" t="s">
        <v>7</v>
      </c>
      <c r="I26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11" s="90" t="s">
        <v>6181</v>
      </c>
    </row>
    <row r="2612" spans="1:11">
      <c r="A2612" s="90" t="s">
        <v>6180</v>
      </c>
      <c r="B2612" s="90" t="s">
        <v>6181</v>
      </c>
      <c r="C2612" s="90" t="s">
        <v>10</v>
      </c>
      <c r="D2612" s="90" t="str">
        <f>VLOOKUP(Tabela1[[#This Row],[Origem]],'Perguntas 1 a 24'!$J$28:$K$34,2,FALSE)</f>
        <v>Centro-Oeste</v>
      </c>
      <c r="E2612" s="90" t="s">
        <v>13950</v>
      </c>
      <c r="F2612" s="91">
        <v>47065</v>
      </c>
      <c r="G2612" s="92">
        <v>93379</v>
      </c>
      <c r="H2612" s="90" t="s">
        <v>9</v>
      </c>
      <c r="I26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12" s="90" t="s">
        <v>7777</v>
      </c>
    </row>
    <row r="2613" spans="1:11">
      <c r="A2613" s="90" t="s">
        <v>7776</v>
      </c>
      <c r="B2613" s="90" t="s">
        <v>7777</v>
      </c>
      <c r="C2613" s="90" t="s">
        <v>10</v>
      </c>
      <c r="D2613" s="90" t="str">
        <f>VLOOKUP(Tabela1[[#This Row],[Origem]],'Perguntas 1 a 24'!$J$28:$K$34,2,FALSE)</f>
        <v>Centro-Oeste</v>
      </c>
      <c r="E2613" s="90" t="s">
        <v>13951</v>
      </c>
      <c r="F2613" s="91">
        <v>47065</v>
      </c>
      <c r="G2613" s="92">
        <v>98558</v>
      </c>
      <c r="H2613" s="90" t="s">
        <v>7</v>
      </c>
      <c r="I26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13" s="90" t="s">
        <v>9048</v>
      </c>
    </row>
    <row r="2614" spans="1:11">
      <c r="A2614" s="90" t="s">
        <v>9047</v>
      </c>
      <c r="B2614" s="90" t="s">
        <v>9048</v>
      </c>
      <c r="C2614" s="90" t="s">
        <v>10</v>
      </c>
      <c r="D2614" s="90" t="str">
        <f>VLOOKUP(Tabela1[[#This Row],[Origem]],'Perguntas 1 a 24'!$J$28:$K$34,2,FALSE)</f>
        <v>Centro-Oeste</v>
      </c>
      <c r="E2614" s="90" t="s">
        <v>13952</v>
      </c>
      <c r="F2614" s="91">
        <v>47065</v>
      </c>
      <c r="G2614" s="92">
        <v>104664</v>
      </c>
      <c r="H2614" s="90" t="s">
        <v>11</v>
      </c>
      <c r="I26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14" s="90" t="s">
        <v>6689</v>
      </c>
    </row>
    <row r="2615" spans="1:11">
      <c r="A2615" s="90" t="s">
        <v>6688</v>
      </c>
      <c r="B2615" s="90" t="s">
        <v>6689</v>
      </c>
      <c r="C2615" s="90" t="s">
        <v>13</v>
      </c>
      <c r="D2615" s="90" t="str">
        <f>VLOOKUP(Tabela1[[#This Row],[Origem]],'Perguntas 1 a 24'!$J$28:$K$34,2,FALSE)</f>
        <v>Sudeste</v>
      </c>
      <c r="E2615" s="90" t="s">
        <v>13953</v>
      </c>
      <c r="F2615" s="91">
        <v>47066</v>
      </c>
      <c r="G2615" s="92">
        <v>118683</v>
      </c>
      <c r="H2615" s="90" t="s">
        <v>14</v>
      </c>
      <c r="I26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15" s="90" t="s">
        <v>4093</v>
      </c>
    </row>
    <row r="2616" spans="1:11">
      <c r="A2616" s="90" t="s">
        <v>4092</v>
      </c>
      <c r="B2616" s="90" t="s">
        <v>4093</v>
      </c>
      <c r="C2616" s="90" t="s">
        <v>12</v>
      </c>
      <c r="D2616" s="90" t="str">
        <f>VLOOKUP(Tabela1[[#This Row],[Origem]],'Perguntas 1 a 24'!$J$28:$K$34,2,FALSE)</f>
        <v>Sudeste</v>
      </c>
      <c r="E2616" s="90" t="s">
        <v>13954</v>
      </c>
      <c r="F2616" s="91">
        <v>47069</v>
      </c>
      <c r="G2616" s="92">
        <v>54867</v>
      </c>
      <c r="H2616" s="90" t="s">
        <v>14</v>
      </c>
      <c r="I26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16" s="90" t="s">
        <v>4731</v>
      </c>
    </row>
    <row r="2617" spans="1:11">
      <c r="A2617" s="90" t="s">
        <v>4730</v>
      </c>
      <c r="B2617" s="90" t="s">
        <v>4731</v>
      </c>
      <c r="C2617" s="90" t="s">
        <v>13</v>
      </c>
      <c r="D2617" s="90" t="str">
        <f>VLOOKUP(Tabela1[[#This Row],[Origem]],'Perguntas 1 a 24'!$J$28:$K$34,2,FALSE)</f>
        <v>Sudeste</v>
      </c>
      <c r="E2617" s="90" t="s">
        <v>13955</v>
      </c>
      <c r="F2617" s="91">
        <v>47069</v>
      </c>
      <c r="G2617" s="92">
        <v>68323</v>
      </c>
      <c r="H2617" s="90" t="s">
        <v>7</v>
      </c>
      <c r="I26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17" s="90" t="s">
        <v>11154</v>
      </c>
    </row>
    <row r="2618" spans="1:11">
      <c r="A2618" s="90" t="s">
        <v>11153</v>
      </c>
      <c r="B2618" s="90" t="s">
        <v>11154</v>
      </c>
      <c r="C2618" s="90" t="s">
        <v>8</v>
      </c>
      <c r="D2618" s="90" t="str">
        <f>VLOOKUP(Tabela1[[#This Row],[Origem]],'Perguntas 1 a 24'!$J$28:$K$34,2,FALSE)</f>
        <v>Nordeste</v>
      </c>
      <c r="E2618" s="90" t="s">
        <v>13956</v>
      </c>
      <c r="F2618" s="91">
        <v>47072</v>
      </c>
      <c r="G2618" s="92">
        <v>100906</v>
      </c>
      <c r="H2618" s="90" t="s">
        <v>9</v>
      </c>
      <c r="I26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18" s="90" t="s">
        <v>6527</v>
      </c>
    </row>
    <row r="2619" spans="1:11">
      <c r="A2619" s="90" t="s">
        <v>6526</v>
      </c>
      <c r="B2619" s="90" t="s">
        <v>6527</v>
      </c>
      <c r="C2619" s="90" t="s">
        <v>15</v>
      </c>
      <c r="D2619" s="90" t="str">
        <f>VLOOKUP(Tabela1[[#This Row],[Origem]],'Perguntas 1 a 24'!$J$28:$K$34,2,FALSE)</f>
        <v>Sudeste</v>
      </c>
      <c r="E2619" s="90" t="s">
        <v>13957</v>
      </c>
      <c r="F2619" s="91">
        <v>47074</v>
      </c>
      <c r="G2619" s="92">
        <v>35835</v>
      </c>
      <c r="H2619" s="90" t="s">
        <v>9</v>
      </c>
      <c r="I26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19" s="90" t="s">
        <v>7101</v>
      </c>
    </row>
    <row r="2620" spans="1:11">
      <c r="A2620" s="90" t="s">
        <v>7100</v>
      </c>
      <c r="B2620" s="90" t="s">
        <v>7101</v>
      </c>
      <c r="C2620" s="90" t="s">
        <v>12</v>
      </c>
      <c r="D2620" s="90" t="str">
        <f>VLOOKUP(Tabela1[[#This Row],[Origem]],'Perguntas 1 a 24'!$J$28:$K$34,2,FALSE)</f>
        <v>Sudeste</v>
      </c>
      <c r="E2620" s="90" t="s">
        <v>13958</v>
      </c>
      <c r="F2620" s="91">
        <v>47075</v>
      </c>
      <c r="G2620" s="92">
        <v>46347</v>
      </c>
      <c r="H2620" s="90" t="s">
        <v>11</v>
      </c>
      <c r="I26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20" s="90" t="s">
        <v>7935</v>
      </c>
    </row>
    <row r="2621" spans="1:11">
      <c r="A2621" s="90" t="s">
        <v>7934</v>
      </c>
      <c r="B2621" s="90" t="s">
        <v>7935</v>
      </c>
      <c r="C2621" s="90" t="s">
        <v>6</v>
      </c>
      <c r="D2621" s="90" t="str">
        <f>VLOOKUP(Tabela1[[#This Row],[Origem]],'Perguntas 1 a 24'!$J$28:$K$34,2,FALSE)</f>
        <v>Nordeste</v>
      </c>
      <c r="E2621" s="90" t="s">
        <v>13959</v>
      </c>
      <c r="F2621" s="91">
        <v>47076</v>
      </c>
      <c r="G2621" s="92">
        <v>63385</v>
      </c>
      <c r="H2621" s="90" t="s">
        <v>7</v>
      </c>
      <c r="I26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21" s="90" t="s">
        <v>10958</v>
      </c>
    </row>
    <row r="2622" spans="1:11">
      <c r="A2622" s="90" t="s">
        <v>10957</v>
      </c>
      <c r="B2622" s="90" t="s">
        <v>10958</v>
      </c>
      <c r="C2622" s="90" t="s">
        <v>10</v>
      </c>
      <c r="D2622" s="90" t="str">
        <f>VLOOKUP(Tabela1[[#This Row],[Origem]],'Perguntas 1 a 24'!$J$28:$K$34,2,FALSE)</f>
        <v>Centro-Oeste</v>
      </c>
      <c r="E2622" s="90" t="s">
        <v>13960</v>
      </c>
      <c r="F2622" s="91">
        <v>47076</v>
      </c>
      <c r="G2622" s="92">
        <v>23065</v>
      </c>
      <c r="H2622" s="90" t="s">
        <v>14</v>
      </c>
      <c r="I26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22" s="90" t="s">
        <v>4021</v>
      </c>
    </row>
    <row r="2623" spans="1:11">
      <c r="A2623" s="90" t="s">
        <v>4020</v>
      </c>
      <c r="B2623" s="90" t="s">
        <v>4021</v>
      </c>
      <c r="C2623" s="90" t="s">
        <v>10</v>
      </c>
      <c r="D2623" s="90" t="str">
        <f>VLOOKUP(Tabela1[[#This Row],[Origem]],'Perguntas 1 a 24'!$J$28:$K$34,2,FALSE)</f>
        <v>Centro-Oeste</v>
      </c>
      <c r="E2623" s="90" t="s">
        <v>13961</v>
      </c>
      <c r="F2623" s="91">
        <v>47077</v>
      </c>
      <c r="G2623" s="92">
        <v>49919</v>
      </c>
      <c r="H2623" s="90" t="s">
        <v>7</v>
      </c>
      <c r="I26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23" s="90" t="s">
        <v>4579</v>
      </c>
    </row>
    <row r="2624" spans="1:11">
      <c r="A2624" s="90" t="s">
        <v>4578</v>
      </c>
      <c r="B2624" s="90" t="s">
        <v>4579</v>
      </c>
      <c r="C2624" s="90" t="s">
        <v>16</v>
      </c>
      <c r="D2624" s="90" t="str">
        <f>VLOOKUP(Tabela1[[#This Row],[Origem]],'Perguntas 1 a 24'!$J$28:$K$34,2,FALSE)</f>
        <v>Sudeste</v>
      </c>
      <c r="E2624" s="90" t="s">
        <v>13962</v>
      </c>
      <c r="F2624" s="91">
        <v>47077</v>
      </c>
      <c r="G2624" s="92">
        <v>81495</v>
      </c>
      <c r="H2624" s="90" t="s">
        <v>14</v>
      </c>
      <c r="I26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24" s="90" t="s">
        <v>8009</v>
      </c>
    </row>
    <row r="2625" spans="1:11">
      <c r="A2625" s="90" t="s">
        <v>8008</v>
      </c>
      <c r="B2625" s="90" t="s">
        <v>8009</v>
      </c>
      <c r="C2625" s="90" t="s">
        <v>8</v>
      </c>
      <c r="D2625" s="90" t="str">
        <f>VLOOKUP(Tabela1[[#This Row],[Origem]],'Perguntas 1 a 24'!$J$28:$K$34,2,FALSE)</f>
        <v>Nordeste</v>
      </c>
      <c r="E2625" s="90" t="s">
        <v>13963</v>
      </c>
      <c r="F2625" s="91">
        <v>47077</v>
      </c>
      <c r="G2625" s="92">
        <v>113246</v>
      </c>
      <c r="H2625" s="90" t="s">
        <v>7</v>
      </c>
      <c r="I26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25" s="90" t="s">
        <v>8345</v>
      </c>
    </row>
    <row r="2626" spans="1:11">
      <c r="A2626" s="90" t="s">
        <v>8344</v>
      </c>
      <c r="B2626" s="90" t="s">
        <v>8345</v>
      </c>
      <c r="C2626" s="90" t="s">
        <v>12</v>
      </c>
      <c r="D2626" s="90" t="str">
        <f>VLOOKUP(Tabela1[[#This Row],[Origem]],'Perguntas 1 a 24'!$J$28:$K$34,2,FALSE)</f>
        <v>Sudeste</v>
      </c>
      <c r="E2626" s="90" t="s">
        <v>13964</v>
      </c>
      <c r="F2626" s="91">
        <v>47077</v>
      </c>
      <c r="G2626" s="92">
        <v>40403</v>
      </c>
      <c r="H2626" s="90" t="s">
        <v>9</v>
      </c>
      <c r="I26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26" s="90" t="s">
        <v>9206</v>
      </c>
    </row>
    <row r="2627" spans="1:11">
      <c r="A2627" s="90" t="s">
        <v>9205</v>
      </c>
      <c r="B2627" s="90" t="s">
        <v>9206</v>
      </c>
      <c r="C2627" s="90" t="s">
        <v>12</v>
      </c>
      <c r="D2627" s="90" t="str">
        <f>VLOOKUP(Tabela1[[#This Row],[Origem]],'Perguntas 1 a 24'!$J$28:$K$34,2,FALSE)</f>
        <v>Sudeste</v>
      </c>
      <c r="E2627" s="90" t="s">
        <v>13965</v>
      </c>
      <c r="F2627" s="91">
        <v>47077</v>
      </c>
      <c r="G2627" s="92">
        <v>71731</v>
      </c>
      <c r="H2627" s="90" t="s">
        <v>11</v>
      </c>
      <c r="I26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27" s="90" t="s">
        <v>10862</v>
      </c>
    </row>
    <row r="2628" spans="1:11">
      <c r="A2628" s="90" t="s">
        <v>10861</v>
      </c>
      <c r="B2628" s="90" t="s">
        <v>10862</v>
      </c>
      <c r="C2628" s="90" t="s">
        <v>8</v>
      </c>
      <c r="D2628" s="90" t="str">
        <f>VLOOKUP(Tabela1[[#This Row],[Origem]],'Perguntas 1 a 24'!$J$28:$K$34,2,FALSE)</f>
        <v>Nordeste</v>
      </c>
      <c r="E2628" s="90" t="s">
        <v>13966</v>
      </c>
      <c r="F2628" s="91">
        <v>47078</v>
      </c>
      <c r="G2628" s="92">
        <v>26234</v>
      </c>
      <c r="H2628" s="90" t="s">
        <v>14</v>
      </c>
      <c r="I26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28" s="90" t="s">
        <v>11103</v>
      </c>
    </row>
    <row r="2629" spans="1:11">
      <c r="A2629" s="90" t="s">
        <v>11102</v>
      </c>
      <c r="B2629" s="90" t="s">
        <v>11103</v>
      </c>
      <c r="C2629" s="90" t="s">
        <v>6</v>
      </c>
      <c r="D2629" s="90" t="str">
        <f>VLOOKUP(Tabela1[[#This Row],[Origem]],'Perguntas 1 a 24'!$J$28:$K$34,2,FALSE)</f>
        <v>Nordeste</v>
      </c>
      <c r="E2629" s="90" t="s">
        <v>13967</v>
      </c>
      <c r="F2629" s="91">
        <v>47078</v>
      </c>
      <c r="G2629" s="92">
        <v>20223</v>
      </c>
      <c r="H2629" s="90" t="s">
        <v>9</v>
      </c>
      <c r="I26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29" s="90" t="s">
        <v>3672</v>
      </c>
    </row>
    <row r="2630" spans="1:11">
      <c r="A2630" s="90" t="s">
        <v>3671</v>
      </c>
      <c r="B2630" s="90" t="s">
        <v>3672</v>
      </c>
      <c r="C2630" s="90" t="s">
        <v>13</v>
      </c>
      <c r="D2630" s="90" t="str">
        <f>VLOOKUP(Tabela1[[#This Row],[Origem]],'Perguntas 1 a 24'!$J$28:$K$34,2,FALSE)</f>
        <v>Sudeste</v>
      </c>
      <c r="E2630" s="90" t="s">
        <v>13968</v>
      </c>
      <c r="F2630" s="91">
        <v>47079</v>
      </c>
      <c r="G2630" s="92">
        <v>35103</v>
      </c>
      <c r="H2630" s="90" t="s">
        <v>14</v>
      </c>
      <c r="I26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30" s="90" t="s">
        <v>4541</v>
      </c>
    </row>
    <row r="2631" spans="1:11">
      <c r="A2631" s="90" t="s">
        <v>4540</v>
      </c>
      <c r="B2631" s="90" t="s">
        <v>4541</v>
      </c>
      <c r="C2631" s="90" t="s">
        <v>10</v>
      </c>
      <c r="D2631" s="90" t="str">
        <f>VLOOKUP(Tabela1[[#This Row],[Origem]],'Perguntas 1 a 24'!$J$28:$K$34,2,FALSE)</f>
        <v>Centro-Oeste</v>
      </c>
      <c r="E2631" s="90" t="s">
        <v>13969</v>
      </c>
      <c r="F2631" s="91">
        <v>47079</v>
      </c>
      <c r="G2631" s="92">
        <v>55233</v>
      </c>
      <c r="H2631" s="90" t="s">
        <v>14</v>
      </c>
      <c r="I26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31" s="90" t="s">
        <v>6385</v>
      </c>
    </row>
    <row r="2632" spans="1:11">
      <c r="A2632" s="90" t="s">
        <v>6384</v>
      </c>
      <c r="B2632" s="90" t="s">
        <v>6385</v>
      </c>
      <c r="C2632" s="90" t="s">
        <v>10</v>
      </c>
      <c r="D2632" s="90" t="str">
        <f>VLOOKUP(Tabela1[[#This Row],[Origem]],'Perguntas 1 a 24'!$J$28:$K$34,2,FALSE)</f>
        <v>Centro-Oeste</v>
      </c>
      <c r="E2632" s="90" t="s">
        <v>13970</v>
      </c>
      <c r="F2632" s="91">
        <v>47080</v>
      </c>
      <c r="G2632" s="92">
        <v>117170</v>
      </c>
      <c r="H2632" s="90" t="s">
        <v>9</v>
      </c>
      <c r="I26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32" s="90" t="s">
        <v>10484</v>
      </c>
    </row>
    <row r="2633" spans="1:11">
      <c r="A2633" s="90" t="s">
        <v>10483</v>
      </c>
      <c r="B2633" s="90" t="s">
        <v>10484</v>
      </c>
      <c r="C2633" s="90" t="s">
        <v>16</v>
      </c>
      <c r="D2633" s="90" t="str">
        <f>VLOOKUP(Tabela1[[#This Row],[Origem]],'Perguntas 1 a 24'!$J$28:$K$34,2,FALSE)</f>
        <v>Sudeste</v>
      </c>
      <c r="E2633" s="90" t="s">
        <v>13971</v>
      </c>
      <c r="F2633" s="91">
        <v>47080</v>
      </c>
      <c r="G2633" s="92">
        <v>59430</v>
      </c>
      <c r="H2633" s="90" t="s">
        <v>11</v>
      </c>
      <c r="I26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33" s="90" t="s">
        <v>3827</v>
      </c>
    </row>
    <row r="2634" spans="1:11">
      <c r="A2634" s="90" t="s">
        <v>3826</v>
      </c>
      <c r="B2634" s="90" t="s">
        <v>3827</v>
      </c>
      <c r="C2634" s="90" t="s">
        <v>8</v>
      </c>
      <c r="D2634" s="90" t="str">
        <f>VLOOKUP(Tabela1[[#This Row],[Origem]],'Perguntas 1 a 24'!$J$28:$K$34,2,FALSE)</f>
        <v>Nordeste</v>
      </c>
      <c r="E2634" s="90" t="s">
        <v>13972</v>
      </c>
      <c r="F2634" s="91">
        <v>47081</v>
      </c>
      <c r="G2634" s="92">
        <v>114993</v>
      </c>
      <c r="H2634" s="90" t="s">
        <v>9</v>
      </c>
      <c r="I26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34" s="90" t="s">
        <v>4593</v>
      </c>
    </row>
    <row r="2635" spans="1:11">
      <c r="A2635" s="90" t="s">
        <v>4592</v>
      </c>
      <c r="B2635" s="90" t="s">
        <v>4593</v>
      </c>
      <c r="C2635" s="90" t="s">
        <v>13</v>
      </c>
      <c r="D2635" s="90" t="str">
        <f>VLOOKUP(Tabela1[[#This Row],[Origem]],'Perguntas 1 a 24'!$J$28:$K$34,2,FALSE)</f>
        <v>Sudeste</v>
      </c>
      <c r="E2635" s="90" t="s">
        <v>13973</v>
      </c>
      <c r="F2635" s="91">
        <v>47081</v>
      </c>
      <c r="G2635" s="92">
        <v>91116</v>
      </c>
      <c r="H2635" s="90" t="s">
        <v>9</v>
      </c>
      <c r="I26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35" s="90" t="s">
        <v>6909</v>
      </c>
    </row>
    <row r="2636" spans="1:11">
      <c r="A2636" s="90" t="s">
        <v>6908</v>
      </c>
      <c r="B2636" s="90" t="s">
        <v>6909</v>
      </c>
      <c r="C2636" s="90" t="s">
        <v>8</v>
      </c>
      <c r="D2636" s="90" t="str">
        <f>VLOOKUP(Tabela1[[#This Row],[Origem]],'Perguntas 1 a 24'!$J$28:$K$34,2,FALSE)</f>
        <v>Nordeste</v>
      </c>
      <c r="E2636" s="90" t="s">
        <v>13974</v>
      </c>
      <c r="F2636" s="91">
        <v>47082</v>
      </c>
      <c r="G2636" s="92">
        <v>57056</v>
      </c>
      <c r="H2636" s="90" t="s">
        <v>9</v>
      </c>
      <c r="I26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36" s="90" t="s">
        <v>7051</v>
      </c>
    </row>
    <row r="2637" spans="1:11">
      <c r="A2637" s="90" t="s">
        <v>7050</v>
      </c>
      <c r="B2637" s="90" t="s">
        <v>7051</v>
      </c>
      <c r="C2637" s="90" t="s">
        <v>15</v>
      </c>
      <c r="D2637" s="90" t="str">
        <f>VLOOKUP(Tabela1[[#This Row],[Origem]],'Perguntas 1 a 24'!$J$28:$K$34,2,FALSE)</f>
        <v>Sudeste</v>
      </c>
      <c r="E2637" s="90" t="s">
        <v>13975</v>
      </c>
      <c r="F2637" s="91">
        <v>47082</v>
      </c>
      <c r="G2637" s="92">
        <v>27877</v>
      </c>
      <c r="H2637" s="90" t="s">
        <v>7</v>
      </c>
      <c r="I26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37" s="90" t="s">
        <v>9494</v>
      </c>
    </row>
    <row r="2638" spans="1:11">
      <c r="A2638" s="90" t="s">
        <v>9493</v>
      </c>
      <c r="B2638" s="90" t="s">
        <v>9494</v>
      </c>
      <c r="C2638" s="90" t="s">
        <v>10</v>
      </c>
      <c r="D2638" s="90" t="str">
        <f>VLOOKUP(Tabela1[[#This Row],[Origem]],'Perguntas 1 a 24'!$J$28:$K$34,2,FALSE)</f>
        <v>Centro-Oeste</v>
      </c>
      <c r="E2638" s="90" t="s">
        <v>13976</v>
      </c>
      <c r="F2638" s="91">
        <v>47082</v>
      </c>
      <c r="G2638" s="92">
        <v>69064</v>
      </c>
      <c r="H2638" s="90" t="s">
        <v>11</v>
      </c>
      <c r="I26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38" s="90" t="s">
        <v>6861</v>
      </c>
    </row>
    <row r="2639" spans="1:11">
      <c r="A2639" s="90" t="s">
        <v>6860</v>
      </c>
      <c r="B2639" s="90" t="s">
        <v>6861</v>
      </c>
      <c r="C2639" s="90" t="s">
        <v>8</v>
      </c>
      <c r="D2639" s="90" t="str">
        <f>VLOOKUP(Tabela1[[#This Row],[Origem]],'Perguntas 1 a 24'!$J$28:$K$34,2,FALSE)</f>
        <v>Nordeste</v>
      </c>
      <c r="E2639" s="90" t="s">
        <v>13977</v>
      </c>
      <c r="F2639" s="91">
        <v>47083</v>
      </c>
      <c r="G2639" s="92">
        <v>51872</v>
      </c>
      <c r="H2639" s="90" t="s">
        <v>7</v>
      </c>
      <c r="I26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39" s="90" t="s">
        <v>5621</v>
      </c>
    </row>
    <row r="2640" spans="1:11">
      <c r="A2640" s="90" t="s">
        <v>5620</v>
      </c>
      <c r="B2640" s="90" t="s">
        <v>5621</v>
      </c>
      <c r="C2640" s="90" t="s">
        <v>16</v>
      </c>
      <c r="D2640" s="90" t="str">
        <f>VLOOKUP(Tabela1[[#This Row],[Origem]],'Perguntas 1 a 24'!$J$28:$K$34,2,FALSE)</f>
        <v>Sudeste</v>
      </c>
      <c r="E2640" s="90" t="s">
        <v>13978</v>
      </c>
      <c r="F2640" s="91">
        <v>47084</v>
      </c>
      <c r="G2640" s="92">
        <v>74515</v>
      </c>
      <c r="H2640" s="90" t="s">
        <v>14</v>
      </c>
      <c r="I26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40" s="90" t="s">
        <v>10234</v>
      </c>
    </row>
    <row r="2641" spans="1:11">
      <c r="A2641" s="90" t="s">
        <v>10233</v>
      </c>
      <c r="B2641" s="90" t="s">
        <v>10234</v>
      </c>
      <c r="C2641" s="90" t="s">
        <v>12</v>
      </c>
      <c r="D2641" s="90" t="str">
        <f>VLOOKUP(Tabela1[[#This Row],[Origem]],'Perguntas 1 a 24'!$J$28:$K$34,2,FALSE)</f>
        <v>Sudeste</v>
      </c>
      <c r="E2641" s="90" t="s">
        <v>13979</v>
      </c>
      <c r="F2641" s="91">
        <v>47084</v>
      </c>
      <c r="G2641" s="92">
        <v>20044</v>
      </c>
      <c r="H2641" s="90" t="s">
        <v>11</v>
      </c>
      <c r="I26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41" s="90" t="s">
        <v>10648</v>
      </c>
    </row>
    <row r="2642" spans="1:11">
      <c r="A2642" s="90" t="s">
        <v>10647</v>
      </c>
      <c r="B2642" s="90" t="s">
        <v>10648</v>
      </c>
      <c r="C2642" s="90" t="s">
        <v>6</v>
      </c>
      <c r="D2642" s="90" t="str">
        <f>VLOOKUP(Tabela1[[#This Row],[Origem]],'Perguntas 1 a 24'!$J$28:$K$34,2,FALSE)</f>
        <v>Nordeste</v>
      </c>
      <c r="E2642" s="90" t="s">
        <v>13980</v>
      </c>
      <c r="F2642" s="91">
        <v>47084</v>
      </c>
      <c r="G2642" s="92">
        <v>110874</v>
      </c>
      <c r="H2642" s="90" t="s">
        <v>14</v>
      </c>
      <c r="I26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42" s="90" t="s">
        <v>8608</v>
      </c>
    </row>
    <row r="2643" spans="1:11">
      <c r="A2643" s="90" t="s">
        <v>8607</v>
      </c>
      <c r="B2643" s="90" t="s">
        <v>8608</v>
      </c>
      <c r="C2643" s="90" t="s">
        <v>12</v>
      </c>
      <c r="D2643" s="90" t="str">
        <f>VLOOKUP(Tabela1[[#This Row],[Origem]],'Perguntas 1 a 24'!$J$28:$K$34,2,FALSE)</f>
        <v>Sudeste</v>
      </c>
      <c r="E2643" s="90" t="s">
        <v>13981</v>
      </c>
      <c r="F2643" s="91">
        <v>47086</v>
      </c>
      <c r="G2643" s="92">
        <v>25366</v>
      </c>
      <c r="H2643" s="90" t="s">
        <v>7</v>
      </c>
      <c r="I26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43" s="90" t="s">
        <v>4985</v>
      </c>
    </row>
    <row r="2644" spans="1:11">
      <c r="A2644" s="90" t="s">
        <v>4984</v>
      </c>
      <c r="B2644" s="90" t="s">
        <v>4985</v>
      </c>
      <c r="C2644" s="90" t="s">
        <v>15</v>
      </c>
      <c r="D2644" s="90" t="str">
        <f>VLOOKUP(Tabela1[[#This Row],[Origem]],'Perguntas 1 a 24'!$J$28:$K$34,2,FALSE)</f>
        <v>Sudeste</v>
      </c>
      <c r="E2644" s="90" t="s">
        <v>13982</v>
      </c>
      <c r="F2644" s="91">
        <v>47087</v>
      </c>
      <c r="G2644" s="92">
        <v>77352</v>
      </c>
      <c r="H2644" s="90" t="s">
        <v>7</v>
      </c>
      <c r="I26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44" s="90" t="s">
        <v>7959</v>
      </c>
    </row>
    <row r="2645" spans="1:11">
      <c r="A2645" s="90" t="s">
        <v>7958</v>
      </c>
      <c r="B2645" s="90" t="s">
        <v>7959</v>
      </c>
      <c r="C2645" s="90" t="s">
        <v>12</v>
      </c>
      <c r="D2645" s="90" t="str">
        <f>VLOOKUP(Tabela1[[#This Row],[Origem]],'Perguntas 1 a 24'!$J$28:$K$34,2,FALSE)</f>
        <v>Sudeste</v>
      </c>
      <c r="E2645" s="90" t="s">
        <v>13983</v>
      </c>
      <c r="F2645" s="91">
        <v>47088</v>
      </c>
      <c r="G2645" s="92">
        <v>61333</v>
      </c>
      <c r="H2645" s="90" t="s">
        <v>14</v>
      </c>
      <c r="I26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45" s="90" t="s">
        <v>3721</v>
      </c>
    </row>
    <row r="2646" spans="1:11">
      <c r="A2646" s="90" t="s">
        <v>3720</v>
      </c>
      <c r="B2646" s="90" t="s">
        <v>3721</v>
      </c>
      <c r="C2646" s="90" t="s">
        <v>10</v>
      </c>
      <c r="D2646" s="90" t="str">
        <f>VLOOKUP(Tabela1[[#This Row],[Origem]],'Perguntas 1 a 24'!$J$28:$K$34,2,FALSE)</f>
        <v>Centro-Oeste</v>
      </c>
      <c r="E2646" s="90" t="s">
        <v>13984</v>
      </c>
      <c r="F2646" s="91">
        <v>47091</v>
      </c>
      <c r="G2646" s="92">
        <v>110407</v>
      </c>
      <c r="H2646" s="90" t="s">
        <v>11</v>
      </c>
      <c r="I26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46" s="90" t="s">
        <v>11168</v>
      </c>
    </row>
    <row r="2647" spans="1:11">
      <c r="A2647" s="90" t="s">
        <v>11167</v>
      </c>
      <c r="B2647" s="90" t="s">
        <v>11168</v>
      </c>
      <c r="C2647" s="90" t="s">
        <v>8</v>
      </c>
      <c r="D2647" s="90" t="str">
        <f>VLOOKUP(Tabela1[[#This Row],[Origem]],'Perguntas 1 a 24'!$J$28:$K$34,2,FALSE)</f>
        <v>Nordeste</v>
      </c>
      <c r="E2647" s="90" t="s">
        <v>13985</v>
      </c>
      <c r="F2647" s="91">
        <v>47091</v>
      </c>
      <c r="G2647" s="92">
        <v>102201</v>
      </c>
      <c r="H2647" s="90" t="s">
        <v>14</v>
      </c>
      <c r="I26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47" s="90" t="s">
        <v>6247</v>
      </c>
    </row>
    <row r="2648" spans="1:11">
      <c r="A2648" s="90" t="s">
        <v>6246</v>
      </c>
      <c r="B2648" s="90" t="s">
        <v>6247</v>
      </c>
      <c r="C2648" s="90" t="s">
        <v>13</v>
      </c>
      <c r="D2648" s="90" t="str">
        <f>VLOOKUP(Tabela1[[#This Row],[Origem]],'Perguntas 1 a 24'!$J$28:$K$34,2,FALSE)</f>
        <v>Sudeste</v>
      </c>
      <c r="E2648" s="90" t="s">
        <v>13986</v>
      </c>
      <c r="F2648" s="91">
        <v>47094</v>
      </c>
      <c r="G2648" s="92">
        <v>35763</v>
      </c>
      <c r="H2648" s="90" t="s">
        <v>11</v>
      </c>
      <c r="I26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48" s="90" t="s">
        <v>6539</v>
      </c>
    </row>
    <row r="2649" spans="1:11">
      <c r="A2649" s="90" t="s">
        <v>6538</v>
      </c>
      <c r="B2649" s="90" t="s">
        <v>6539</v>
      </c>
      <c r="C2649" s="90" t="s">
        <v>13</v>
      </c>
      <c r="D2649" s="90" t="str">
        <f>VLOOKUP(Tabela1[[#This Row],[Origem]],'Perguntas 1 a 24'!$J$28:$K$34,2,FALSE)</f>
        <v>Sudeste</v>
      </c>
      <c r="E2649" s="90" t="s">
        <v>13987</v>
      </c>
      <c r="F2649" s="91">
        <v>47095</v>
      </c>
      <c r="G2649" s="92">
        <v>65844</v>
      </c>
      <c r="H2649" s="90" t="s">
        <v>14</v>
      </c>
      <c r="I26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49" s="90" t="s">
        <v>3664</v>
      </c>
    </row>
    <row r="2650" spans="1:11">
      <c r="A2650" s="90" t="s">
        <v>3663</v>
      </c>
      <c r="B2650" s="90" t="s">
        <v>3664</v>
      </c>
      <c r="C2650" s="90" t="s">
        <v>6</v>
      </c>
      <c r="D2650" s="90" t="str">
        <f>VLOOKUP(Tabela1[[#This Row],[Origem]],'Perguntas 1 a 24'!$J$28:$K$34,2,FALSE)</f>
        <v>Nordeste</v>
      </c>
      <c r="E2650" s="90" t="s">
        <v>13988</v>
      </c>
      <c r="F2650" s="91">
        <v>47096</v>
      </c>
      <c r="G2650" s="92">
        <v>83361</v>
      </c>
      <c r="H2650" s="90" t="s">
        <v>7</v>
      </c>
      <c r="I26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50" s="90" t="s">
        <v>8830</v>
      </c>
    </row>
    <row r="2651" spans="1:11">
      <c r="A2651" s="90" t="s">
        <v>8829</v>
      </c>
      <c r="B2651" s="90" t="s">
        <v>8830</v>
      </c>
      <c r="C2651" s="90" t="s">
        <v>8</v>
      </c>
      <c r="D2651" s="90" t="str">
        <f>VLOOKUP(Tabela1[[#This Row],[Origem]],'Perguntas 1 a 24'!$J$28:$K$34,2,FALSE)</f>
        <v>Nordeste</v>
      </c>
      <c r="E2651" s="90" t="s">
        <v>13989</v>
      </c>
      <c r="F2651" s="91">
        <v>47096</v>
      </c>
      <c r="G2651" s="92">
        <v>45261</v>
      </c>
      <c r="H2651" s="90" t="s">
        <v>9</v>
      </c>
      <c r="I26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51" s="90" t="s">
        <v>10660</v>
      </c>
    </row>
    <row r="2652" spans="1:11">
      <c r="A2652" s="90" t="s">
        <v>10659</v>
      </c>
      <c r="B2652" s="90" t="s">
        <v>10660</v>
      </c>
      <c r="C2652" s="90" t="s">
        <v>10</v>
      </c>
      <c r="D2652" s="90" t="str">
        <f>VLOOKUP(Tabela1[[#This Row],[Origem]],'Perguntas 1 a 24'!$J$28:$K$34,2,FALSE)</f>
        <v>Centro-Oeste</v>
      </c>
      <c r="E2652" s="90" t="s">
        <v>13990</v>
      </c>
      <c r="F2652" s="91">
        <v>47096</v>
      </c>
      <c r="G2652" s="92">
        <v>107451</v>
      </c>
      <c r="H2652" s="90" t="s">
        <v>11</v>
      </c>
      <c r="I26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52" s="90" t="s">
        <v>4601</v>
      </c>
    </row>
    <row r="2653" spans="1:11">
      <c r="A2653" s="90" t="s">
        <v>4600</v>
      </c>
      <c r="B2653" s="90" t="s">
        <v>4601</v>
      </c>
      <c r="C2653" s="90" t="s">
        <v>10</v>
      </c>
      <c r="D2653" s="90" t="str">
        <f>VLOOKUP(Tabela1[[#This Row],[Origem]],'Perguntas 1 a 24'!$J$28:$K$34,2,FALSE)</f>
        <v>Centro-Oeste</v>
      </c>
      <c r="E2653" s="90" t="s">
        <v>13991</v>
      </c>
      <c r="F2653" s="91">
        <v>47098</v>
      </c>
      <c r="G2653" s="92">
        <v>44669</v>
      </c>
      <c r="H2653" s="90" t="s">
        <v>11</v>
      </c>
      <c r="I26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53" s="90" t="s">
        <v>4953</v>
      </c>
    </row>
    <row r="2654" spans="1:11">
      <c r="A2654" s="90" t="s">
        <v>4952</v>
      </c>
      <c r="B2654" s="90" t="s">
        <v>4953</v>
      </c>
      <c r="C2654" s="90" t="s">
        <v>6</v>
      </c>
      <c r="D2654" s="90" t="str">
        <f>VLOOKUP(Tabela1[[#This Row],[Origem]],'Perguntas 1 a 24'!$J$28:$K$34,2,FALSE)</f>
        <v>Nordeste</v>
      </c>
      <c r="E2654" s="90" t="s">
        <v>13992</v>
      </c>
      <c r="F2654" s="91">
        <v>47099</v>
      </c>
      <c r="G2654" s="92">
        <v>107690</v>
      </c>
      <c r="H2654" s="90" t="s">
        <v>9</v>
      </c>
      <c r="I26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54" s="90" t="s">
        <v>5843</v>
      </c>
    </row>
    <row r="2655" spans="1:11">
      <c r="A2655" s="90" t="s">
        <v>5842</v>
      </c>
      <c r="B2655" s="90" t="s">
        <v>5843</v>
      </c>
      <c r="C2655" s="90" t="s">
        <v>8</v>
      </c>
      <c r="D2655" s="90" t="str">
        <f>VLOOKUP(Tabela1[[#This Row],[Origem]],'Perguntas 1 a 24'!$J$28:$K$34,2,FALSE)</f>
        <v>Nordeste</v>
      </c>
      <c r="E2655" s="90" t="s">
        <v>13993</v>
      </c>
      <c r="F2655" s="91">
        <v>47099</v>
      </c>
      <c r="G2655" s="92">
        <v>54270</v>
      </c>
      <c r="H2655" s="90" t="s">
        <v>11</v>
      </c>
      <c r="I26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55" s="90" t="s">
        <v>7779</v>
      </c>
    </row>
    <row r="2656" spans="1:11">
      <c r="A2656" s="90" t="s">
        <v>7778</v>
      </c>
      <c r="B2656" s="90" t="s">
        <v>7779</v>
      </c>
      <c r="C2656" s="90" t="s">
        <v>16</v>
      </c>
      <c r="D2656" s="90" t="str">
        <f>VLOOKUP(Tabela1[[#This Row],[Origem]],'Perguntas 1 a 24'!$J$28:$K$34,2,FALSE)</f>
        <v>Sudeste</v>
      </c>
      <c r="E2656" s="90" t="s">
        <v>13994</v>
      </c>
      <c r="F2656" s="91">
        <v>47099</v>
      </c>
      <c r="G2656" s="92">
        <v>40029</v>
      </c>
      <c r="H2656" s="90" t="s">
        <v>7</v>
      </c>
      <c r="I26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56" s="90" t="s">
        <v>7955</v>
      </c>
    </row>
    <row r="2657" spans="1:11">
      <c r="A2657" s="90" t="s">
        <v>7954</v>
      </c>
      <c r="B2657" s="90" t="s">
        <v>7955</v>
      </c>
      <c r="C2657" s="90" t="s">
        <v>8</v>
      </c>
      <c r="D2657" s="90" t="str">
        <f>VLOOKUP(Tabela1[[#This Row],[Origem]],'Perguntas 1 a 24'!$J$28:$K$34,2,FALSE)</f>
        <v>Nordeste</v>
      </c>
      <c r="E2657" s="90" t="s">
        <v>13995</v>
      </c>
      <c r="F2657" s="91">
        <v>47099</v>
      </c>
      <c r="G2657" s="92">
        <v>58168</v>
      </c>
      <c r="H2657" s="90" t="s">
        <v>7</v>
      </c>
      <c r="I26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57" s="90" t="s">
        <v>10508</v>
      </c>
    </row>
    <row r="2658" spans="1:11">
      <c r="A2658" s="90" t="s">
        <v>10507</v>
      </c>
      <c r="B2658" s="90" t="s">
        <v>10508</v>
      </c>
      <c r="C2658" s="90" t="s">
        <v>16</v>
      </c>
      <c r="D2658" s="90" t="str">
        <f>VLOOKUP(Tabela1[[#This Row],[Origem]],'Perguntas 1 a 24'!$J$28:$K$34,2,FALSE)</f>
        <v>Sudeste</v>
      </c>
      <c r="E2658" s="90" t="s">
        <v>13996</v>
      </c>
      <c r="F2658" s="91">
        <v>47100</v>
      </c>
      <c r="G2658" s="92">
        <v>27224</v>
      </c>
      <c r="H2658" s="90" t="s">
        <v>11</v>
      </c>
      <c r="I26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58" s="90" t="s">
        <v>3985</v>
      </c>
    </row>
    <row r="2659" spans="1:11">
      <c r="A2659" s="90" t="s">
        <v>3984</v>
      </c>
      <c r="B2659" s="90" t="s">
        <v>3985</v>
      </c>
      <c r="C2659" s="90" t="s">
        <v>13</v>
      </c>
      <c r="D2659" s="90" t="str">
        <f>VLOOKUP(Tabela1[[#This Row],[Origem]],'Perguntas 1 a 24'!$J$28:$K$34,2,FALSE)</f>
        <v>Sudeste</v>
      </c>
      <c r="E2659" s="90" t="s">
        <v>13997</v>
      </c>
      <c r="F2659" s="91">
        <v>47101</v>
      </c>
      <c r="G2659" s="92">
        <v>91778</v>
      </c>
      <c r="H2659" s="90" t="s">
        <v>7</v>
      </c>
      <c r="I26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59" s="90" t="s">
        <v>7463</v>
      </c>
    </row>
    <row r="2660" spans="1:11">
      <c r="A2660" s="90" t="s">
        <v>7462</v>
      </c>
      <c r="B2660" s="90" t="s">
        <v>7463</v>
      </c>
      <c r="C2660" s="90" t="s">
        <v>15</v>
      </c>
      <c r="D2660" s="90" t="str">
        <f>VLOOKUP(Tabela1[[#This Row],[Origem]],'Perguntas 1 a 24'!$J$28:$K$34,2,FALSE)</f>
        <v>Sudeste</v>
      </c>
      <c r="E2660" s="90" t="s">
        <v>13998</v>
      </c>
      <c r="F2660" s="91">
        <v>47101</v>
      </c>
      <c r="G2660" s="92">
        <v>48783</v>
      </c>
      <c r="H2660" s="90" t="s">
        <v>7</v>
      </c>
      <c r="I26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60" s="90" t="s">
        <v>9996</v>
      </c>
    </row>
    <row r="2661" spans="1:11">
      <c r="A2661" s="90" t="s">
        <v>9995</v>
      </c>
      <c r="B2661" s="90" t="s">
        <v>9996</v>
      </c>
      <c r="C2661" s="90" t="s">
        <v>16</v>
      </c>
      <c r="D2661" s="90" t="str">
        <f>VLOOKUP(Tabela1[[#This Row],[Origem]],'Perguntas 1 a 24'!$J$28:$K$34,2,FALSE)</f>
        <v>Sudeste</v>
      </c>
      <c r="E2661" s="90" t="s">
        <v>13999</v>
      </c>
      <c r="F2661" s="91">
        <v>47102</v>
      </c>
      <c r="G2661" s="92">
        <v>101125</v>
      </c>
      <c r="H2661" s="90" t="s">
        <v>9</v>
      </c>
      <c r="I26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61" s="90" t="s">
        <v>10492</v>
      </c>
    </row>
    <row r="2662" spans="1:11">
      <c r="A2662" s="90" t="s">
        <v>10491</v>
      </c>
      <c r="B2662" s="90" t="s">
        <v>10492</v>
      </c>
      <c r="C2662" s="90" t="s">
        <v>16</v>
      </c>
      <c r="D2662" s="90" t="str">
        <f>VLOOKUP(Tabela1[[#This Row],[Origem]],'Perguntas 1 a 24'!$J$28:$K$34,2,FALSE)</f>
        <v>Sudeste</v>
      </c>
      <c r="E2662" s="90" t="s">
        <v>14000</v>
      </c>
      <c r="F2662" s="91">
        <v>47102</v>
      </c>
      <c r="G2662" s="92">
        <v>33731</v>
      </c>
      <c r="H2662" s="90" t="s">
        <v>7</v>
      </c>
      <c r="I26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62" s="90" t="s">
        <v>6459</v>
      </c>
    </row>
    <row r="2663" spans="1:11">
      <c r="A2663" s="90" t="s">
        <v>6458</v>
      </c>
      <c r="B2663" s="90" t="s">
        <v>6459</v>
      </c>
      <c r="C2663" s="90" t="s">
        <v>13</v>
      </c>
      <c r="D2663" s="90" t="str">
        <f>VLOOKUP(Tabela1[[#This Row],[Origem]],'Perguntas 1 a 24'!$J$28:$K$34,2,FALSE)</f>
        <v>Sudeste</v>
      </c>
      <c r="E2663" s="90" t="s">
        <v>14001</v>
      </c>
      <c r="F2663" s="91">
        <v>47103</v>
      </c>
      <c r="G2663" s="92">
        <v>106997</v>
      </c>
      <c r="H2663" s="90" t="s">
        <v>9</v>
      </c>
      <c r="I26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63" s="90" t="s">
        <v>6485</v>
      </c>
    </row>
    <row r="2664" spans="1:11">
      <c r="A2664" s="90" t="s">
        <v>6484</v>
      </c>
      <c r="B2664" s="90" t="s">
        <v>6485</v>
      </c>
      <c r="C2664" s="90" t="s">
        <v>12</v>
      </c>
      <c r="D2664" s="90" t="str">
        <f>VLOOKUP(Tabela1[[#This Row],[Origem]],'Perguntas 1 a 24'!$J$28:$K$34,2,FALSE)</f>
        <v>Sudeste</v>
      </c>
      <c r="E2664" s="90" t="s">
        <v>14002</v>
      </c>
      <c r="F2664" s="91">
        <v>47103</v>
      </c>
      <c r="G2664" s="92">
        <v>79659</v>
      </c>
      <c r="H2664" s="90" t="s">
        <v>9</v>
      </c>
      <c r="I26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64" s="90" t="s">
        <v>7263</v>
      </c>
    </row>
    <row r="2665" spans="1:11">
      <c r="A2665" s="90" t="s">
        <v>7262</v>
      </c>
      <c r="B2665" s="90" t="s">
        <v>7263</v>
      </c>
      <c r="C2665" s="90" t="s">
        <v>6</v>
      </c>
      <c r="D2665" s="90" t="str">
        <f>VLOOKUP(Tabela1[[#This Row],[Origem]],'Perguntas 1 a 24'!$J$28:$K$34,2,FALSE)</f>
        <v>Nordeste</v>
      </c>
      <c r="E2665" s="90" t="s">
        <v>14003</v>
      </c>
      <c r="F2665" s="91">
        <v>47103</v>
      </c>
      <c r="G2665" s="92">
        <v>86538</v>
      </c>
      <c r="H2665" s="90" t="s">
        <v>7</v>
      </c>
      <c r="I26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65" s="90" t="s">
        <v>10564</v>
      </c>
    </row>
    <row r="2666" spans="1:11">
      <c r="A2666" s="90" t="s">
        <v>10563</v>
      </c>
      <c r="B2666" s="90" t="s">
        <v>10564</v>
      </c>
      <c r="C2666" s="90" t="s">
        <v>6</v>
      </c>
      <c r="D2666" s="90" t="str">
        <f>VLOOKUP(Tabela1[[#This Row],[Origem]],'Perguntas 1 a 24'!$J$28:$K$34,2,FALSE)</f>
        <v>Nordeste</v>
      </c>
      <c r="E2666" s="90" t="s">
        <v>14004</v>
      </c>
      <c r="F2666" s="91">
        <v>47103</v>
      </c>
      <c r="G2666" s="92">
        <v>95416</v>
      </c>
      <c r="H2666" s="90" t="s">
        <v>9</v>
      </c>
      <c r="I26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66" s="90" t="s">
        <v>10987</v>
      </c>
    </row>
    <row r="2667" spans="1:11">
      <c r="A2667" s="90" t="s">
        <v>10986</v>
      </c>
      <c r="B2667" s="90" t="s">
        <v>10987</v>
      </c>
      <c r="C2667" s="90" t="s">
        <v>12</v>
      </c>
      <c r="D2667" s="90" t="str">
        <f>VLOOKUP(Tabela1[[#This Row],[Origem]],'Perguntas 1 a 24'!$J$28:$K$34,2,FALSE)</f>
        <v>Sudeste</v>
      </c>
      <c r="E2667" s="90" t="s">
        <v>14005</v>
      </c>
      <c r="F2667" s="91">
        <v>47104</v>
      </c>
      <c r="G2667" s="92">
        <v>93912</v>
      </c>
      <c r="H2667" s="90" t="s">
        <v>9</v>
      </c>
      <c r="I26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67" s="90" t="s">
        <v>7653</v>
      </c>
    </row>
    <row r="2668" spans="1:11">
      <c r="A2668" s="90" t="s">
        <v>7652</v>
      </c>
      <c r="B2668" s="90" t="s">
        <v>7653</v>
      </c>
      <c r="C2668" s="90" t="s">
        <v>13</v>
      </c>
      <c r="D2668" s="90" t="str">
        <f>VLOOKUP(Tabela1[[#This Row],[Origem]],'Perguntas 1 a 24'!$J$28:$K$34,2,FALSE)</f>
        <v>Sudeste</v>
      </c>
      <c r="E2668" s="90" t="s">
        <v>14006</v>
      </c>
      <c r="F2668" s="91">
        <v>47105</v>
      </c>
      <c r="G2668" s="92">
        <v>74376</v>
      </c>
      <c r="H2668" s="90" t="s">
        <v>14</v>
      </c>
      <c r="I26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68" s="90" t="s">
        <v>6075</v>
      </c>
    </row>
    <row r="2669" spans="1:11">
      <c r="A2669" s="90" t="s">
        <v>6074</v>
      </c>
      <c r="B2669" s="90" t="s">
        <v>6075</v>
      </c>
      <c r="C2669" s="90" t="s">
        <v>8</v>
      </c>
      <c r="D2669" s="90" t="str">
        <f>VLOOKUP(Tabela1[[#This Row],[Origem]],'Perguntas 1 a 24'!$J$28:$K$34,2,FALSE)</f>
        <v>Nordeste</v>
      </c>
      <c r="E2669" s="90" t="s">
        <v>14007</v>
      </c>
      <c r="F2669" s="91">
        <v>47106</v>
      </c>
      <c r="G2669" s="92">
        <v>85970</v>
      </c>
      <c r="H2669" s="90" t="s">
        <v>11</v>
      </c>
      <c r="I26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69" s="90" t="s">
        <v>7217</v>
      </c>
    </row>
    <row r="2670" spans="1:11">
      <c r="A2670" s="90" t="s">
        <v>7216</v>
      </c>
      <c r="B2670" s="90" t="s">
        <v>7217</v>
      </c>
      <c r="C2670" s="90" t="s">
        <v>6</v>
      </c>
      <c r="D2670" s="90" t="str">
        <f>VLOOKUP(Tabela1[[#This Row],[Origem]],'Perguntas 1 a 24'!$J$28:$K$34,2,FALSE)</f>
        <v>Nordeste</v>
      </c>
      <c r="E2670" s="90" t="s">
        <v>14008</v>
      </c>
      <c r="F2670" s="91">
        <v>47106</v>
      </c>
      <c r="G2670" s="92">
        <v>30484</v>
      </c>
      <c r="H2670" s="90" t="s">
        <v>14</v>
      </c>
      <c r="I26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70" s="90" t="s">
        <v>7845</v>
      </c>
    </row>
    <row r="2671" spans="1:11">
      <c r="A2671" s="90" t="s">
        <v>7844</v>
      </c>
      <c r="B2671" s="90" t="s">
        <v>7845</v>
      </c>
      <c r="C2671" s="90" t="s">
        <v>10</v>
      </c>
      <c r="D2671" s="90" t="str">
        <f>VLOOKUP(Tabela1[[#This Row],[Origem]],'Perguntas 1 a 24'!$J$28:$K$34,2,FALSE)</f>
        <v>Centro-Oeste</v>
      </c>
      <c r="E2671" s="90" t="s">
        <v>14009</v>
      </c>
      <c r="F2671" s="91">
        <v>47106</v>
      </c>
      <c r="G2671" s="92">
        <v>79789</v>
      </c>
      <c r="H2671" s="90" t="s">
        <v>9</v>
      </c>
      <c r="I26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71" s="90" t="s">
        <v>8355</v>
      </c>
    </row>
    <row r="2672" spans="1:11">
      <c r="A2672" s="90" t="s">
        <v>8354</v>
      </c>
      <c r="B2672" s="90" t="s">
        <v>8355</v>
      </c>
      <c r="C2672" s="90" t="s">
        <v>16</v>
      </c>
      <c r="D2672" s="90" t="str">
        <f>VLOOKUP(Tabela1[[#This Row],[Origem]],'Perguntas 1 a 24'!$J$28:$K$34,2,FALSE)</f>
        <v>Sudeste</v>
      </c>
      <c r="E2672" s="90" t="s">
        <v>14010</v>
      </c>
      <c r="F2672" s="91">
        <v>47106</v>
      </c>
      <c r="G2672" s="92">
        <v>92167</v>
      </c>
      <c r="H2672" s="90" t="s">
        <v>14</v>
      </c>
      <c r="I26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72" s="90" t="s">
        <v>8796</v>
      </c>
    </row>
    <row r="2673" spans="1:11">
      <c r="A2673" s="90" t="s">
        <v>8795</v>
      </c>
      <c r="B2673" s="90" t="s">
        <v>8796</v>
      </c>
      <c r="C2673" s="90" t="s">
        <v>8</v>
      </c>
      <c r="D2673" s="90" t="str">
        <f>VLOOKUP(Tabela1[[#This Row],[Origem]],'Perguntas 1 a 24'!$J$28:$K$34,2,FALSE)</f>
        <v>Nordeste</v>
      </c>
      <c r="E2673" s="90" t="s">
        <v>14011</v>
      </c>
      <c r="F2673" s="91">
        <v>47107</v>
      </c>
      <c r="G2673" s="92">
        <v>25313</v>
      </c>
      <c r="H2673" s="90" t="s">
        <v>7</v>
      </c>
      <c r="I26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73" s="90" t="s">
        <v>9992</v>
      </c>
    </row>
    <row r="2674" spans="1:11">
      <c r="A2674" s="90" t="s">
        <v>9991</v>
      </c>
      <c r="B2674" s="90" t="s">
        <v>9992</v>
      </c>
      <c r="C2674" s="90" t="s">
        <v>16</v>
      </c>
      <c r="D2674" s="90" t="str">
        <f>VLOOKUP(Tabela1[[#This Row],[Origem]],'Perguntas 1 a 24'!$J$28:$K$34,2,FALSE)</f>
        <v>Sudeste</v>
      </c>
      <c r="E2674" s="90" t="s">
        <v>14012</v>
      </c>
      <c r="F2674" s="91">
        <v>47107</v>
      </c>
      <c r="G2674" s="92">
        <v>103956</v>
      </c>
      <c r="H2674" s="90" t="s">
        <v>14</v>
      </c>
      <c r="I26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74" s="90" t="s">
        <v>10226</v>
      </c>
    </row>
    <row r="2675" spans="1:11">
      <c r="A2675" s="90" t="s">
        <v>10225</v>
      </c>
      <c r="B2675" s="90" t="s">
        <v>10226</v>
      </c>
      <c r="C2675" s="90" t="s">
        <v>16</v>
      </c>
      <c r="D2675" s="90" t="str">
        <f>VLOOKUP(Tabela1[[#This Row],[Origem]],'Perguntas 1 a 24'!$J$28:$K$34,2,FALSE)</f>
        <v>Sudeste</v>
      </c>
      <c r="E2675" s="90" t="s">
        <v>14013</v>
      </c>
      <c r="F2675" s="91">
        <v>47108</v>
      </c>
      <c r="G2675" s="92">
        <v>73468</v>
      </c>
      <c r="H2675" s="90" t="s">
        <v>7</v>
      </c>
      <c r="I26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75" s="90" t="s">
        <v>10014</v>
      </c>
    </row>
    <row r="2676" spans="1:11">
      <c r="A2676" s="90" t="s">
        <v>10013</v>
      </c>
      <c r="B2676" s="90" t="s">
        <v>10014</v>
      </c>
      <c r="C2676" s="90" t="s">
        <v>13</v>
      </c>
      <c r="D2676" s="90" t="str">
        <f>VLOOKUP(Tabela1[[#This Row],[Origem]],'Perguntas 1 a 24'!$J$28:$K$34,2,FALSE)</f>
        <v>Sudeste</v>
      </c>
      <c r="E2676" s="90" t="s">
        <v>14014</v>
      </c>
      <c r="F2676" s="91">
        <v>47110</v>
      </c>
      <c r="G2676" s="92">
        <v>22829</v>
      </c>
      <c r="H2676" s="90" t="s">
        <v>7</v>
      </c>
      <c r="I26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76" s="90" t="s">
        <v>6053</v>
      </c>
    </row>
    <row r="2677" spans="1:11">
      <c r="A2677" s="90" t="s">
        <v>6052</v>
      </c>
      <c r="B2677" s="90" t="s">
        <v>6053</v>
      </c>
      <c r="C2677" s="90" t="s">
        <v>8</v>
      </c>
      <c r="D2677" s="90" t="str">
        <f>VLOOKUP(Tabela1[[#This Row],[Origem]],'Perguntas 1 a 24'!$J$28:$K$34,2,FALSE)</f>
        <v>Nordeste</v>
      </c>
      <c r="E2677" s="90" t="s">
        <v>14015</v>
      </c>
      <c r="F2677" s="91">
        <v>47112</v>
      </c>
      <c r="G2677" s="92">
        <v>119417</v>
      </c>
      <c r="H2677" s="90" t="s">
        <v>9</v>
      </c>
      <c r="I26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77" s="90" t="s">
        <v>10782</v>
      </c>
    </row>
    <row r="2678" spans="1:11">
      <c r="A2678" s="90" t="s">
        <v>10781</v>
      </c>
      <c r="B2678" s="90" t="s">
        <v>10782</v>
      </c>
      <c r="C2678" s="90" t="s">
        <v>16</v>
      </c>
      <c r="D2678" s="90" t="str">
        <f>VLOOKUP(Tabela1[[#This Row],[Origem]],'Perguntas 1 a 24'!$J$28:$K$34,2,FALSE)</f>
        <v>Sudeste</v>
      </c>
      <c r="E2678" s="90" t="s">
        <v>14016</v>
      </c>
      <c r="F2678" s="91">
        <v>47113</v>
      </c>
      <c r="G2678" s="92">
        <v>73277</v>
      </c>
      <c r="H2678" s="90" t="s">
        <v>7</v>
      </c>
      <c r="I26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78" s="90" t="s">
        <v>7849</v>
      </c>
    </row>
    <row r="2679" spans="1:11">
      <c r="A2679" s="90" t="s">
        <v>7848</v>
      </c>
      <c r="B2679" s="90" t="s">
        <v>7849</v>
      </c>
      <c r="C2679" s="90" t="s">
        <v>10</v>
      </c>
      <c r="D2679" s="90" t="str">
        <f>VLOOKUP(Tabela1[[#This Row],[Origem]],'Perguntas 1 a 24'!$J$28:$K$34,2,FALSE)</f>
        <v>Centro-Oeste</v>
      </c>
      <c r="E2679" s="90" t="s">
        <v>14017</v>
      </c>
      <c r="F2679" s="91">
        <v>47114</v>
      </c>
      <c r="G2679" s="92">
        <v>97595</v>
      </c>
      <c r="H2679" s="90" t="s">
        <v>9</v>
      </c>
      <c r="I26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79" s="90" t="s">
        <v>8778</v>
      </c>
    </row>
    <row r="2680" spans="1:11">
      <c r="A2680" s="90" t="s">
        <v>8777</v>
      </c>
      <c r="B2680" s="90" t="s">
        <v>8778</v>
      </c>
      <c r="C2680" s="90" t="s">
        <v>6</v>
      </c>
      <c r="D2680" s="90" t="str">
        <f>VLOOKUP(Tabela1[[#This Row],[Origem]],'Perguntas 1 a 24'!$J$28:$K$34,2,FALSE)</f>
        <v>Nordeste</v>
      </c>
      <c r="E2680" s="90" t="s">
        <v>14018</v>
      </c>
      <c r="F2680" s="91">
        <v>47114</v>
      </c>
      <c r="G2680" s="92">
        <v>38891</v>
      </c>
      <c r="H2680" s="90" t="s">
        <v>11</v>
      </c>
      <c r="I26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80" s="90" t="s">
        <v>6987</v>
      </c>
    </row>
    <row r="2681" spans="1:11">
      <c r="A2681" s="90" t="s">
        <v>6986</v>
      </c>
      <c r="B2681" s="90" t="s">
        <v>6987</v>
      </c>
      <c r="C2681" s="90" t="s">
        <v>15</v>
      </c>
      <c r="D2681" s="90" t="str">
        <f>VLOOKUP(Tabela1[[#This Row],[Origem]],'Perguntas 1 a 24'!$J$28:$K$34,2,FALSE)</f>
        <v>Sudeste</v>
      </c>
      <c r="E2681" s="90" t="s">
        <v>14019</v>
      </c>
      <c r="F2681" s="91">
        <v>47115</v>
      </c>
      <c r="G2681" s="92">
        <v>74184</v>
      </c>
      <c r="H2681" s="90" t="s">
        <v>11</v>
      </c>
      <c r="I26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81" s="90" t="s">
        <v>7369</v>
      </c>
    </row>
    <row r="2682" spans="1:11">
      <c r="A2682" s="90" t="s">
        <v>7368</v>
      </c>
      <c r="B2682" s="90" t="s">
        <v>7369</v>
      </c>
      <c r="C2682" s="90" t="s">
        <v>10</v>
      </c>
      <c r="D2682" s="90" t="str">
        <f>VLOOKUP(Tabela1[[#This Row],[Origem]],'Perguntas 1 a 24'!$J$28:$K$34,2,FALSE)</f>
        <v>Centro-Oeste</v>
      </c>
      <c r="E2682" s="90" t="s">
        <v>14020</v>
      </c>
      <c r="F2682" s="91">
        <v>47115</v>
      </c>
      <c r="G2682" s="92">
        <v>68426</v>
      </c>
      <c r="H2682" s="90" t="s">
        <v>11</v>
      </c>
      <c r="I26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82" s="90" t="s">
        <v>8029</v>
      </c>
    </row>
    <row r="2683" spans="1:11">
      <c r="A2683" s="90" t="s">
        <v>8028</v>
      </c>
      <c r="B2683" s="90" t="s">
        <v>8029</v>
      </c>
      <c r="C2683" s="90" t="s">
        <v>16</v>
      </c>
      <c r="D2683" s="90" t="str">
        <f>VLOOKUP(Tabela1[[#This Row],[Origem]],'Perguntas 1 a 24'!$J$28:$K$34,2,FALSE)</f>
        <v>Sudeste</v>
      </c>
      <c r="E2683" s="90" t="s">
        <v>14021</v>
      </c>
      <c r="F2683" s="91">
        <v>47115</v>
      </c>
      <c r="G2683" s="92">
        <v>48258</v>
      </c>
      <c r="H2683" s="90" t="s">
        <v>14</v>
      </c>
      <c r="I26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83" s="90" t="s">
        <v>3797</v>
      </c>
    </row>
    <row r="2684" spans="1:11">
      <c r="A2684" s="90" t="s">
        <v>3796</v>
      </c>
      <c r="B2684" s="90" t="s">
        <v>3797</v>
      </c>
      <c r="C2684" s="90" t="s">
        <v>6</v>
      </c>
      <c r="D2684" s="90" t="str">
        <f>VLOOKUP(Tabela1[[#This Row],[Origem]],'Perguntas 1 a 24'!$J$28:$K$34,2,FALSE)</f>
        <v>Nordeste</v>
      </c>
      <c r="E2684" s="90" t="s">
        <v>14022</v>
      </c>
      <c r="F2684" s="91">
        <v>47116</v>
      </c>
      <c r="G2684" s="92">
        <v>49828</v>
      </c>
      <c r="H2684" s="90" t="s">
        <v>7</v>
      </c>
      <c r="I26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</v>
      </c>
      <c r="K2684" s="90" t="s">
        <v>6665</v>
      </c>
    </row>
    <row r="2685" spans="1:11">
      <c r="A2685" s="90" t="s">
        <v>6664</v>
      </c>
      <c r="B2685" s="90" t="s">
        <v>6665</v>
      </c>
      <c r="C2685" s="90" t="s">
        <v>16</v>
      </c>
      <c r="D2685" s="90" t="str">
        <f>VLOOKUP(Tabela1[[#This Row],[Origem]],'Perguntas 1 a 24'!$J$28:$K$34,2,FALSE)</f>
        <v>Sudeste</v>
      </c>
      <c r="E2685" s="90" t="s">
        <v>14023</v>
      </c>
      <c r="F2685" s="91">
        <v>47116</v>
      </c>
      <c r="G2685" s="92">
        <v>116712</v>
      </c>
      <c r="H2685" s="90" t="s">
        <v>9</v>
      </c>
      <c r="I26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85" s="90" t="s">
        <v>4143</v>
      </c>
    </row>
    <row r="2686" spans="1:11">
      <c r="A2686" s="90" t="s">
        <v>4142</v>
      </c>
      <c r="B2686" s="90" t="s">
        <v>4143</v>
      </c>
      <c r="C2686" s="90" t="s">
        <v>6</v>
      </c>
      <c r="D2686" s="90" t="str">
        <f>VLOOKUP(Tabela1[[#This Row],[Origem]],'Perguntas 1 a 24'!$J$28:$K$34,2,FALSE)</f>
        <v>Nordeste</v>
      </c>
      <c r="E2686" s="90" t="s">
        <v>14024</v>
      </c>
      <c r="F2686" s="91">
        <v>47118</v>
      </c>
      <c r="G2686" s="92">
        <v>61010</v>
      </c>
      <c r="H2686" s="90" t="s">
        <v>7</v>
      </c>
      <c r="I26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86" s="90" t="s">
        <v>4815</v>
      </c>
    </row>
    <row r="2687" spans="1:11">
      <c r="A2687" s="90" t="s">
        <v>4814</v>
      </c>
      <c r="B2687" s="90" t="s">
        <v>4815</v>
      </c>
      <c r="C2687" s="90" t="s">
        <v>16</v>
      </c>
      <c r="D2687" s="90" t="str">
        <f>VLOOKUP(Tabela1[[#This Row],[Origem]],'Perguntas 1 a 24'!$J$28:$K$34,2,FALSE)</f>
        <v>Sudeste</v>
      </c>
      <c r="E2687" s="90" t="s">
        <v>14025</v>
      </c>
      <c r="F2687" s="91">
        <v>47118</v>
      </c>
      <c r="G2687" s="92">
        <v>51486</v>
      </c>
      <c r="H2687" s="90" t="s">
        <v>9</v>
      </c>
      <c r="I26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87" s="90" t="s">
        <v>5135</v>
      </c>
    </row>
    <row r="2688" spans="1:11">
      <c r="A2688" s="90" t="s">
        <v>5134</v>
      </c>
      <c r="B2688" s="90" t="s">
        <v>5135</v>
      </c>
      <c r="C2688" s="90" t="s">
        <v>15</v>
      </c>
      <c r="D2688" s="90" t="str">
        <f>VLOOKUP(Tabela1[[#This Row],[Origem]],'Perguntas 1 a 24'!$J$28:$K$34,2,FALSE)</f>
        <v>Sudeste</v>
      </c>
      <c r="E2688" s="90" t="s">
        <v>14026</v>
      </c>
      <c r="F2688" s="91">
        <v>47118</v>
      </c>
      <c r="G2688" s="92">
        <v>72769</v>
      </c>
      <c r="H2688" s="90" t="s">
        <v>11</v>
      </c>
      <c r="I26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Pendente e caro</v>
      </c>
      <c r="K2688" s="90" t="s">
        <v>7847</v>
      </c>
    </row>
    <row r="2689" spans="1:11">
      <c r="A2689" s="90" t="s">
        <v>7846</v>
      </c>
      <c r="B2689" s="90" t="s">
        <v>7847</v>
      </c>
      <c r="C2689" s="90" t="s">
        <v>13</v>
      </c>
      <c r="D2689" s="90" t="str">
        <f>VLOOKUP(Tabela1[[#This Row],[Origem]],'Perguntas 1 a 24'!$J$28:$K$34,2,FALSE)</f>
        <v>Sudeste</v>
      </c>
      <c r="E2689" s="90" t="s">
        <v>14027</v>
      </c>
      <c r="F2689" s="91">
        <v>47119</v>
      </c>
      <c r="G2689" s="92">
        <v>74451</v>
      </c>
      <c r="H2689" s="90" t="s">
        <v>11</v>
      </c>
      <c r="I26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89" s="90" t="s">
        <v>11061</v>
      </c>
    </row>
    <row r="2690" spans="1:11">
      <c r="A2690" s="90" t="s">
        <v>11060</v>
      </c>
      <c r="B2690" s="90" t="s">
        <v>11061</v>
      </c>
      <c r="C2690" s="90" t="s">
        <v>10</v>
      </c>
      <c r="D2690" s="90" t="str">
        <f>VLOOKUP(Tabela1[[#This Row],[Origem]],'Perguntas 1 a 24'!$J$28:$K$34,2,FALSE)</f>
        <v>Centro-Oeste</v>
      </c>
      <c r="E2690" s="90" t="s">
        <v>14028</v>
      </c>
      <c r="F2690" s="91">
        <v>47119</v>
      </c>
      <c r="G2690" s="92">
        <v>117051</v>
      </c>
      <c r="H2690" s="90" t="s">
        <v>11</v>
      </c>
      <c r="I26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0" s="90" t="s">
        <v>7987</v>
      </c>
    </row>
    <row r="2691" spans="1:11">
      <c r="A2691" s="90" t="s">
        <v>7986</v>
      </c>
      <c r="B2691" s="90" t="s">
        <v>7987</v>
      </c>
      <c r="C2691" s="90" t="s">
        <v>8</v>
      </c>
      <c r="D2691" s="90" t="str">
        <f>VLOOKUP(Tabela1[[#This Row],[Origem]],'Perguntas 1 a 24'!$J$28:$K$34,2,FALSE)</f>
        <v>Nordeste</v>
      </c>
      <c r="E2691" s="90" t="s">
        <v>14029</v>
      </c>
      <c r="F2691" s="91">
        <v>47120</v>
      </c>
      <c r="G2691" s="92">
        <v>112168</v>
      </c>
      <c r="H2691" s="90" t="s">
        <v>14</v>
      </c>
      <c r="I26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1" s="90" t="s">
        <v>8720</v>
      </c>
    </row>
    <row r="2692" spans="1:11">
      <c r="A2692" s="90" t="s">
        <v>8719</v>
      </c>
      <c r="B2692" s="90" t="s">
        <v>8720</v>
      </c>
      <c r="C2692" s="90" t="s">
        <v>6</v>
      </c>
      <c r="D2692" s="90" t="str">
        <f>VLOOKUP(Tabela1[[#This Row],[Origem]],'Perguntas 1 a 24'!$J$28:$K$34,2,FALSE)</f>
        <v>Nordeste</v>
      </c>
      <c r="E2692" s="90" t="s">
        <v>14030</v>
      </c>
      <c r="F2692" s="91">
        <v>47120</v>
      </c>
      <c r="G2692" s="92">
        <v>90887</v>
      </c>
      <c r="H2692" s="90" t="s">
        <v>11</v>
      </c>
      <c r="I26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2" s="90" t="s">
        <v>9714</v>
      </c>
    </row>
    <row r="2693" spans="1:11">
      <c r="A2693" s="90" t="s">
        <v>9713</v>
      </c>
      <c r="B2693" s="90" t="s">
        <v>9714</v>
      </c>
      <c r="C2693" s="90" t="s">
        <v>10</v>
      </c>
      <c r="D2693" s="90" t="str">
        <f>VLOOKUP(Tabela1[[#This Row],[Origem]],'Perguntas 1 a 24'!$J$28:$K$34,2,FALSE)</f>
        <v>Centro-Oeste</v>
      </c>
      <c r="E2693" s="90" t="s">
        <v>14031</v>
      </c>
      <c r="F2693" s="91">
        <v>47120</v>
      </c>
      <c r="G2693" s="92">
        <v>60645</v>
      </c>
      <c r="H2693" s="90" t="s">
        <v>14</v>
      </c>
      <c r="I26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3" s="90" t="s">
        <v>6825</v>
      </c>
    </row>
    <row r="2694" spans="1:11">
      <c r="A2694" s="90" t="s">
        <v>6824</v>
      </c>
      <c r="B2694" s="90" t="s">
        <v>6825</v>
      </c>
      <c r="C2694" s="90" t="s">
        <v>10</v>
      </c>
      <c r="D2694" s="90" t="str">
        <f>VLOOKUP(Tabela1[[#This Row],[Origem]],'Perguntas 1 a 24'!$J$28:$K$34,2,FALSE)</f>
        <v>Centro-Oeste</v>
      </c>
      <c r="E2694" s="90" t="s">
        <v>14032</v>
      </c>
      <c r="F2694" s="91">
        <v>47121</v>
      </c>
      <c r="G2694" s="92">
        <v>42463</v>
      </c>
      <c r="H2694" s="90" t="s">
        <v>11</v>
      </c>
      <c r="I26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4" s="90" t="s">
        <v>7603</v>
      </c>
    </row>
    <row r="2695" spans="1:11">
      <c r="A2695" s="90" t="s">
        <v>7602</v>
      </c>
      <c r="B2695" s="90" t="s">
        <v>7603</v>
      </c>
      <c r="C2695" s="90" t="s">
        <v>8</v>
      </c>
      <c r="D2695" s="90" t="str">
        <f>VLOOKUP(Tabela1[[#This Row],[Origem]],'Perguntas 1 a 24'!$J$28:$K$34,2,FALSE)</f>
        <v>Nordeste</v>
      </c>
      <c r="E2695" s="90" t="s">
        <v>14033</v>
      </c>
      <c r="F2695" s="91">
        <v>47121</v>
      </c>
      <c r="G2695" s="92">
        <v>38852</v>
      </c>
      <c r="H2695" s="90" t="s">
        <v>7</v>
      </c>
      <c r="I26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5" s="90" t="s">
        <v>10850</v>
      </c>
    </row>
    <row r="2696" spans="1:11">
      <c r="A2696" s="90" t="s">
        <v>10849</v>
      </c>
      <c r="B2696" s="90" t="s">
        <v>10850</v>
      </c>
      <c r="C2696" s="90" t="s">
        <v>12</v>
      </c>
      <c r="D2696" s="90" t="str">
        <f>VLOOKUP(Tabela1[[#This Row],[Origem]],'Perguntas 1 a 24'!$J$28:$K$34,2,FALSE)</f>
        <v>Sudeste</v>
      </c>
      <c r="E2696" s="90" t="s">
        <v>14034</v>
      </c>
      <c r="F2696" s="91">
        <v>47121</v>
      </c>
      <c r="G2696" s="92">
        <v>24123</v>
      </c>
      <c r="H2696" s="90" t="s">
        <v>7</v>
      </c>
      <c r="I26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6" s="90" t="s">
        <v>6977</v>
      </c>
    </row>
    <row r="2697" spans="1:11">
      <c r="A2697" s="90" t="s">
        <v>6976</v>
      </c>
      <c r="B2697" s="90" t="s">
        <v>6977</v>
      </c>
      <c r="C2697" s="90" t="s">
        <v>13</v>
      </c>
      <c r="D2697" s="90" t="str">
        <f>VLOOKUP(Tabela1[[#This Row],[Origem]],'Perguntas 1 a 24'!$J$28:$K$34,2,FALSE)</f>
        <v>Sudeste</v>
      </c>
      <c r="E2697" s="90" t="s">
        <v>14035</v>
      </c>
      <c r="F2697" s="91">
        <v>47122</v>
      </c>
      <c r="G2697" s="92">
        <v>90913</v>
      </c>
      <c r="H2697" s="90" t="s">
        <v>14</v>
      </c>
      <c r="I26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7" s="90" t="s">
        <v>8740</v>
      </c>
    </row>
    <row r="2698" spans="1:11">
      <c r="A2698" s="90" t="s">
        <v>8739</v>
      </c>
      <c r="B2698" s="90" t="s">
        <v>8740</v>
      </c>
      <c r="C2698" s="90" t="s">
        <v>12</v>
      </c>
      <c r="D2698" s="90" t="str">
        <f>VLOOKUP(Tabela1[[#This Row],[Origem]],'Perguntas 1 a 24'!$J$28:$K$34,2,FALSE)</f>
        <v>Sudeste</v>
      </c>
      <c r="E2698" s="90" t="s">
        <v>14036</v>
      </c>
      <c r="F2698" s="91">
        <v>47122</v>
      </c>
      <c r="G2698" s="92">
        <v>41518</v>
      </c>
      <c r="H2698" s="90" t="s">
        <v>9</v>
      </c>
      <c r="I26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8" s="90" t="s">
        <v>10052</v>
      </c>
    </row>
    <row r="2699" spans="1:11">
      <c r="A2699" s="90" t="s">
        <v>10051</v>
      </c>
      <c r="B2699" s="90" t="s">
        <v>10052</v>
      </c>
      <c r="C2699" s="90" t="s">
        <v>15</v>
      </c>
      <c r="D2699" s="90" t="str">
        <f>VLOOKUP(Tabela1[[#This Row],[Origem]],'Perguntas 1 a 24'!$J$28:$K$34,2,FALSE)</f>
        <v>Sudeste</v>
      </c>
      <c r="E2699" s="90" t="s">
        <v>14037</v>
      </c>
      <c r="F2699" s="91">
        <v>47122</v>
      </c>
      <c r="G2699" s="92">
        <v>80573</v>
      </c>
      <c r="H2699" s="90" t="s">
        <v>9</v>
      </c>
      <c r="I26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699" s="90" t="s">
        <v>10904</v>
      </c>
    </row>
    <row r="2700" spans="1:11">
      <c r="A2700" s="90" t="s">
        <v>10903</v>
      </c>
      <c r="B2700" s="90" t="s">
        <v>10904</v>
      </c>
      <c r="C2700" s="90" t="s">
        <v>8</v>
      </c>
      <c r="D2700" s="90" t="str">
        <f>VLOOKUP(Tabela1[[#This Row],[Origem]],'Perguntas 1 a 24'!$J$28:$K$34,2,FALSE)</f>
        <v>Nordeste</v>
      </c>
      <c r="E2700" s="90" t="s">
        <v>14038</v>
      </c>
      <c r="F2700" s="91">
        <v>47122</v>
      </c>
      <c r="G2700" s="92">
        <v>34180</v>
      </c>
      <c r="H2700" s="90" t="s">
        <v>9</v>
      </c>
      <c r="I27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0" s="90" t="s">
        <v>5531</v>
      </c>
    </row>
    <row r="2701" spans="1:11">
      <c r="A2701" s="90" t="s">
        <v>5530</v>
      </c>
      <c r="B2701" s="90" t="s">
        <v>5531</v>
      </c>
      <c r="C2701" s="90" t="s">
        <v>12</v>
      </c>
      <c r="D2701" s="90" t="str">
        <f>VLOOKUP(Tabela1[[#This Row],[Origem]],'Perguntas 1 a 24'!$J$28:$K$34,2,FALSE)</f>
        <v>Sudeste</v>
      </c>
      <c r="E2701" s="90" t="s">
        <v>14039</v>
      </c>
      <c r="F2701" s="91">
        <v>47123</v>
      </c>
      <c r="G2701" s="92">
        <v>79286</v>
      </c>
      <c r="H2701" s="90" t="s">
        <v>9</v>
      </c>
      <c r="I27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1" s="90" t="s">
        <v>8161</v>
      </c>
    </row>
    <row r="2702" spans="1:11">
      <c r="A2702" s="90" t="s">
        <v>8160</v>
      </c>
      <c r="B2702" s="90" t="s">
        <v>8161</v>
      </c>
      <c r="C2702" s="90" t="s">
        <v>16</v>
      </c>
      <c r="D2702" s="90" t="str">
        <f>VLOOKUP(Tabela1[[#This Row],[Origem]],'Perguntas 1 a 24'!$J$28:$K$34,2,FALSE)</f>
        <v>Sudeste</v>
      </c>
      <c r="E2702" s="90" t="s">
        <v>14040</v>
      </c>
      <c r="F2702" s="91">
        <v>47123</v>
      </c>
      <c r="G2702" s="92">
        <v>48845</v>
      </c>
      <c r="H2702" s="90" t="s">
        <v>11</v>
      </c>
      <c r="I27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2" s="90" t="s">
        <v>5711</v>
      </c>
    </row>
    <row r="2703" spans="1:11">
      <c r="A2703" s="90" t="s">
        <v>5710</v>
      </c>
      <c r="B2703" s="90" t="s">
        <v>5711</v>
      </c>
      <c r="C2703" s="90" t="s">
        <v>13</v>
      </c>
      <c r="D2703" s="90" t="str">
        <f>VLOOKUP(Tabela1[[#This Row],[Origem]],'Perguntas 1 a 24'!$J$28:$K$34,2,FALSE)</f>
        <v>Sudeste</v>
      </c>
      <c r="E2703" s="90" t="s">
        <v>14041</v>
      </c>
      <c r="F2703" s="91">
        <v>47124</v>
      </c>
      <c r="G2703" s="92">
        <v>88153</v>
      </c>
      <c r="H2703" s="90" t="s">
        <v>9</v>
      </c>
      <c r="I27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3" s="90" t="s">
        <v>6311</v>
      </c>
    </row>
    <row r="2704" spans="1:11">
      <c r="A2704" s="90" t="s">
        <v>6310</v>
      </c>
      <c r="B2704" s="90" t="s">
        <v>6311</v>
      </c>
      <c r="C2704" s="90" t="s">
        <v>16</v>
      </c>
      <c r="D2704" s="90" t="str">
        <f>VLOOKUP(Tabela1[[#This Row],[Origem]],'Perguntas 1 a 24'!$J$28:$K$34,2,FALSE)</f>
        <v>Sudeste</v>
      </c>
      <c r="E2704" s="90" t="s">
        <v>14042</v>
      </c>
      <c r="F2704" s="91">
        <v>47124</v>
      </c>
      <c r="G2704" s="92">
        <v>60555</v>
      </c>
      <c r="H2704" s="90" t="s">
        <v>11</v>
      </c>
      <c r="I27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4" s="90" t="s">
        <v>9584</v>
      </c>
    </row>
    <row r="2705" spans="1:11">
      <c r="A2705" s="90" t="s">
        <v>9583</v>
      </c>
      <c r="B2705" s="90" t="s">
        <v>9584</v>
      </c>
      <c r="C2705" s="90" t="s">
        <v>8</v>
      </c>
      <c r="D2705" s="90" t="str">
        <f>VLOOKUP(Tabela1[[#This Row],[Origem]],'Perguntas 1 a 24'!$J$28:$K$34,2,FALSE)</f>
        <v>Nordeste</v>
      </c>
      <c r="E2705" s="90" t="s">
        <v>14043</v>
      </c>
      <c r="F2705" s="91">
        <v>47124</v>
      </c>
      <c r="G2705" s="92">
        <v>56646</v>
      </c>
      <c r="H2705" s="90" t="s">
        <v>11</v>
      </c>
      <c r="I27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5" s="90" t="s">
        <v>10928</v>
      </c>
    </row>
    <row r="2706" spans="1:11">
      <c r="A2706" s="90" t="s">
        <v>10927</v>
      </c>
      <c r="B2706" s="90" t="s">
        <v>10928</v>
      </c>
      <c r="C2706" s="90" t="s">
        <v>10</v>
      </c>
      <c r="D2706" s="90" t="str">
        <f>VLOOKUP(Tabela1[[#This Row],[Origem]],'Perguntas 1 a 24'!$J$28:$K$34,2,FALSE)</f>
        <v>Centro-Oeste</v>
      </c>
      <c r="E2706" s="90" t="s">
        <v>14044</v>
      </c>
      <c r="F2706" s="91">
        <v>47124</v>
      </c>
      <c r="G2706" s="92">
        <v>92564</v>
      </c>
      <c r="H2706" s="90" t="s">
        <v>11</v>
      </c>
      <c r="I27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6" s="90" t="s">
        <v>5651</v>
      </c>
    </row>
    <row r="2707" spans="1:11">
      <c r="A2707" s="90" t="s">
        <v>5650</v>
      </c>
      <c r="B2707" s="90" t="s">
        <v>5651</v>
      </c>
      <c r="C2707" s="90" t="s">
        <v>13</v>
      </c>
      <c r="D2707" s="90" t="str">
        <f>VLOOKUP(Tabela1[[#This Row],[Origem]],'Perguntas 1 a 24'!$J$28:$K$34,2,FALSE)</f>
        <v>Sudeste</v>
      </c>
      <c r="E2707" s="90" t="s">
        <v>14045</v>
      </c>
      <c r="F2707" s="91">
        <v>47127</v>
      </c>
      <c r="G2707" s="92">
        <v>44383</v>
      </c>
      <c r="H2707" s="90" t="s">
        <v>9</v>
      </c>
      <c r="I27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7" s="90" t="s">
        <v>4069</v>
      </c>
    </row>
    <row r="2708" spans="1:11">
      <c r="A2708" s="90" t="s">
        <v>4068</v>
      </c>
      <c r="B2708" s="90" t="s">
        <v>4069</v>
      </c>
      <c r="C2708" s="90" t="s">
        <v>6</v>
      </c>
      <c r="D2708" s="90" t="str">
        <f>VLOOKUP(Tabela1[[#This Row],[Origem]],'Perguntas 1 a 24'!$J$28:$K$34,2,FALSE)</f>
        <v>Nordeste</v>
      </c>
      <c r="E2708" s="90" t="s">
        <v>14046</v>
      </c>
      <c r="F2708" s="91">
        <v>47128</v>
      </c>
      <c r="G2708" s="92">
        <v>74946</v>
      </c>
      <c r="H2708" s="90" t="s">
        <v>14</v>
      </c>
      <c r="I27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8" s="90" t="s">
        <v>4474</v>
      </c>
    </row>
    <row r="2709" spans="1:11">
      <c r="A2709" s="90" t="s">
        <v>4473</v>
      </c>
      <c r="B2709" s="90" t="s">
        <v>4474</v>
      </c>
      <c r="C2709" s="90" t="s">
        <v>10</v>
      </c>
      <c r="D2709" s="90" t="str">
        <f>VLOOKUP(Tabela1[[#This Row],[Origem]],'Perguntas 1 a 24'!$J$28:$K$34,2,FALSE)</f>
        <v>Centro-Oeste</v>
      </c>
      <c r="E2709" s="90" t="s">
        <v>14047</v>
      </c>
      <c r="F2709" s="91">
        <v>47128</v>
      </c>
      <c r="G2709" s="92">
        <v>68057</v>
      </c>
      <c r="H2709" s="90" t="s">
        <v>14</v>
      </c>
      <c r="I27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09" s="90" t="s">
        <v>4941</v>
      </c>
    </row>
    <row r="2710" spans="1:11">
      <c r="A2710" s="90" t="s">
        <v>4940</v>
      </c>
      <c r="B2710" s="90" t="s">
        <v>4941</v>
      </c>
      <c r="C2710" s="90" t="s">
        <v>16</v>
      </c>
      <c r="D2710" s="90" t="str">
        <f>VLOOKUP(Tabela1[[#This Row],[Origem]],'Perguntas 1 a 24'!$J$28:$K$34,2,FALSE)</f>
        <v>Sudeste</v>
      </c>
      <c r="E2710" s="90" t="s">
        <v>14048</v>
      </c>
      <c r="F2710" s="91">
        <v>47128</v>
      </c>
      <c r="G2710" s="92">
        <v>85517</v>
      </c>
      <c r="H2710" s="90" t="s">
        <v>9</v>
      </c>
      <c r="I27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0" s="90" t="s">
        <v>5263</v>
      </c>
    </row>
    <row r="2711" spans="1:11">
      <c r="A2711" s="90" t="s">
        <v>5262</v>
      </c>
      <c r="B2711" s="90" t="s">
        <v>5263</v>
      </c>
      <c r="C2711" s="90" t="s">
        <v>16</v>
      </c>
      <c r="D2711" s="90" t="str">
        <f>VLOOKUP(Tabela1[[#This Row],[Origem]],'Perguntas 1 a 24'!$J$28:$K$34,2,FALSE)</f>
        <v>Sudeste</v>
      </c>
      <c r="E2711" s="90" t="s">
        <v>14049</v>
      </c>
      <c r="F2711" s="91">
        <v>47129</v>
      </c>
      <c r="G2711" s="92">
        <v>27482</v>
      </c>
      <c r="H2711" s="90" t="s">
        <v>9</v>
      </c>
      <c r="I27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1" s="90" t="s">
        <v>5063</v>
      </c>
    </row>
    <row r="2712" spans="1:11">
      <c r="A2712" s="90" t="s">
        <v>5062</v>
      </c>
      <c r="B2712" s="90" t="s">
        <v>5063</v>
      </c>
      <c r="C2712" s="90" t="s">
        <v>16</v>
      </c>
      <c r="D2712" s="90" t="str">
        <f>VLOOKUP(Tabela1[[#This Row],[Origem]],'Perguntas 1 a 24'!$J$28:$K$34,2,FALSE)</f>
        <v>Sudeste</v>
      </c>
      <c r="E2712" s="90" t="s">
        <v>14050</v>
      </c>
      <c r="F2712" s="91">
        <v>47130</v>
      </c>
      <c r="G2712" s="92">
        <v>86808</v>
      </c>
      <c r="H2712" s="90" t="s">
        <v>7</v>
      </c>
      <c r="I27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2" s="90" t="s">
        <v>9570</v>
      </c>
    </row>
    <row r="2713" spans="1:11">
      <c r="A2713" s="90" t="s">
        <v>9569</v>
      </c>
      <c r="B2713" s="90" t="s">
        <v>9570</v>
      </c>
      <c r="C2713" s="90" t="s">
        <v>15</v>
      </c>
      <c r="D2713" s="90" t="str">
        <f>VLOOKUP(Tabela1[[#This Row],[Origem]],'Perguntas 1 a 24'!$J$28:$K$34,2,FALSE)</f>
        <v>Sudeste</v>
      </c>
      <c r="E2713" s="90" t="s">
        <v>14051</v>
      </c>
      <c r="F2713" s="91">
        <v>47131</v>
      </c>
      <c r="G2713" s="92">
        <v>96494</v>
      </c>
      <c r="H2713" s="90" t="s">
        <v>14</v>
      </c>
      <c r="I27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3" s="90" t="s">
        <v>11288</v>
      </c>
    </row>
    <row r="2714" spans="1:11">
      <c r="A2714" s="90" t="s">
        <v>11287</v>
      </c>
      <c r="B2714" s="90" t="s">
        <v>11288</v>
      </c>
      <c r="C2714" s="90" t="s">
        <v>12</v>
      </c>
      <c r="D2714" s="90" t="str">
        <f>VLOOKUP(Tabela1[[#This Row],[Origem]],'Perguntas 1 a 24'!$J$28:$K$34,2,FALSE)</f>
        <v>Sudeste</v>
      </c>
      <c r="E2714" s="90" t="s">
        <v>14052</v>
      </c>
      <c r="F2714" s="91">
        <v>47131</v>
      </c>
      <c r="G2714" s="92">
        <v>85080</v>
      </c>
      <c r="H2714" s="90" t="s">
        <v>7</v>
      </c>
      <c r="I27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4" s="90" t="s">
        <v>3929</v>
      </c>
    </row>
    <row r="2715" spans="1:11">
      <c r="A2715" s="90" t="s">
        <v>3928</v>
      </c>
      <c r="B2715" s="90" t="s">
        <v>3929</v>
      </c>
      <c r="C2715" s="90" t="s">
        <v>16</v>
      </c>
      <c r="D2715" s="90" t="str">
        <f>VLOOKUP(Tabela1[[#This Row],[Origem]],'Perguntas 1 a 24'!$J$28:$K$34,2,FALSE)</f>
        <v>Sudeste</v>
      </c>
      <c r="E2715" s="90" t="s">
        <v>14053</v>
      </c>
      <c r="F2715" s="91">
        <v>47132</v>
      </c>
      <c r="G2715" s="92">
        <v>34125</v>
      </c>
      <c r="H2715" s="90" t="s">
        <v>11</v>
      </c>
      <c r="I27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5" s="90" t="s">
        <v>5391</v>
      </c>
    </row>
    <row r="2716" spans="1:11">
      <c r="A2716" s="90" t="s">
        <v>5390</v>
      </c>
      <c r="B2716" s="90" t="s">
        <v>5391</v>
      </c>
      <c r="C2716" s="90" t="s">
        <v>12</v>
      </c>
      <c r="D2716" s="90" t="str">
        <f>VLOOKUP(Tabela1[[#This Row],[Origem]],'Perguntas 1 a 24'!$J$28:$K$34,2,FALSE)</f>
        <v>Sudeste</v>
      </c>
      <c r="E2716" s="90" t="s">
        <v>14054</v>
      </c>
      <c r="F2716" s="91">
        <v>47132</v>
      </c>
      <c r="G2716" s="92">
        <v>86195</v>
      </c>
      <c r="H2716" s="90" t="s">
        <v>11</v>
      </c>
      <c r="I27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6" s="90" t="s">
        <v>5635</v>
      </c>
    </row>
    <row r="2717" spans="1:11">
      <c r="A2717" s="90" t="s">
        <v>5634</v>
      </c>
      <c r="B2717" s="90" t="s">
        <v>5635</v>
      </c>
      <c r="C2717" s="90" t="s">
        <v>6</v>
      </c>
      <c r="D2717" s="90" t="str">
        <f>VLOOKUP(Tabela1[[#This Row],[Origem]],'Perguntas 1 a 24'!$J$28:$K$34,2,FALSE)</f>
        <v>Nordeste</v>
      </c>
      <c r="E2717" s="90" t="s">
        <v>14055</v>
      </c>
      <c r="F2717" s="91">
        <v>47132</v>
      </c>
      <c r="G2717" s="92">
        <v>42036</v>
      </c>
      <c r="H2717" s="90" t="s">
        <v>14</v>
      </c>
      <c r="I27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7" s="90" t="s">
        <v>5949</v>
      </c>
    </row>
    <row r="2718" spans="1:11">
      <c r="A2718" s="90" t="s">
        <v>5948</v>
      </c>
      <c r="B2718" s="90" t="s">
        <v>5949</v>
      </c>
      <c r="C2718" s="90" t="s">
        <v>8</v>
      </c>
      <c r="D2718" s="90" t="str">
        <f>VLOOKUP(Tabela1[[#This Row],[Origem]],'Perguntas 1 a 24'!$J$28:$K$34,2,FALSE)</f>
        <v>Nordeste</v>
      </c>
      <c r="E2718" s="90" t="s">
        <v>14056</v>
      </c>
      <c r="F2718" s="91">
        <v>47132</v>
      </c>
      <c r="G2718" s="92">
        <v>102662</v>
      </c>
      <c r="H2718" s="90" t="s">
        <v>7</v>
      </c>
      <c r="I27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8" s="90" t="s">
        <v>8700</v>
      </c>
    </row>
    <row r="2719" spans="1:11">
      <c r="A2719" s="90" t="s">
        <v>8699</v>
      </c>
      <c r="B2719" s="90" t="s">
        <v>8700</v>
      </c>
      <c r="C2719" s="90" t="s">
        <v>13</v>
      </c>
      <c r="D2719" s="90" t="str">
        <f>VLOOKUP(Tabela1[[#This Row],[Origem]],'Perguntas 1 a 24'!$J$28:$K$34,2,FALSE)</f>
        <v>Sudeste</v>
      </c>
      <c r="E2719" s="90" t="s">
        <v>14057</v>
      </c>
      <c r="F2719" s="91">
        <v>47132</v>
      </c>
      <c r="G2719" s="92">
        <v>68522</v>
      </c>
      <c r="H2719" s="90" t="s">
        <v>7</v>
      </c>
      <c r="I27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19" s="90" t="s">
        <v>7117</v>
      </c>
    </row>
    <row r="2720" spans="1:11">
      <c r="A2720" s="90" t="s">
        <v>7116</v>
      </c>
      <c r="B2720" s="90" t="s">
        <v>7117</v>
      </c>
      <c r="C2720" s="90" t="s">
        <v>10</v>
      </c>
      <c r="D2720" s="90" t="str">
        <f>VLOOKUP(Tabela1[[#This Row],[Origem]],'Perguntas 1 a 24'!$J$28:$K$34,2,FALSE)</f>
        <v>Centro-Oeste</v>
      </c>
      <c r="E2720" s="90" t="s">
        <v>14058</v>
      </c>
      <c r="F2720" s="91">
        <v>47133</v>
      </c>
      <c r="G2720" s="92">
        <v>63273</v>
      </c>
      <c r="H2720" s="90" t="s">
        <v>7</v>
      </c>
      <c r="I27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0" s="90" t="s">
        <v>7527</v>
      </c>
    </row>
    <row r="2721" spans="1:11">
      <c r="A2721" s="90" t="s">
        <v>7526</v>
      </c>
      <c r="B2721" s="90" t="s">
        <v>7527</v>
      </c>
      <c r="C2721" s="90" t="s">
        <v>8</v>
      </c>
      <c r="D2721" s="90" t="str">
        <f>VLOOKUP(Tabela1[[#This Row],[Origem]],'Perguntas 1 a 24'!$J$28:$K$34,2,FALSE)</f>
        <v>Nordeste</v>
      </c>
      <c r="E2721" s="90" t="s">
        <v>14059</v>
      </c>
      <c r="F2721" s="91">
        <v>47133</v>
      </c>
      <c r="G2721" s="92">
        <v>50600</v>
      </c>
      <c r="H2721" s="90" t="s">
        <v>7</v>
      </c>
      <c r="I27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1" s="90" t="s">
        <v>9420</v>
      </c>
    </row>
    <row r="2722" spans="1:11">
      <c r="A2722" s="90" t="s">
        <v>9419</v>
      </c>
      <c r="B2722" s="90" t="s">
        <v>9420</v>
      </c>
      <c r="C2722" s="90" t="s">
        <v>12</v>
      </c>
      <c r="D2722" s="90" t="str">
        <f>VLOOKUP(Tabela1[[#This Row],[Origem]],'Perguntas 1 a 24'!$J$28:$K$34,2,FALSE)</f>
        <v>Sudeste</v>
      </c>
      <c r="E2722" s="90" t="s">
        <v>14060</v>
      </c>
      <c r="F2722" s="91">
        <v>47133</v>
      </c>
      <c r="G2722" s="92">
        <v>75014</v>
      </c>
      <c r="H2722" s="90" t="s">
        <v>11</v>
      </c>
      <c r="I27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2" s="90" t="s">
        <v>5075</v>
      </c>
    </row>
    <row r="2723" spans="1:11">
      <c r="A2723" s="90" t="s">
        <v>5074</v>
      </c>
      <c r="B2723" s="90" t="s">
        <v>5075</v>
      </c>
      <c r="C2723" s="90" t="s">
        <v>8</v>
      </c>
      <c r="D2723" s="90" t="str">
        <f>VLOOKUP(Tabela1[[#This Row],[Origem]],'Perguntas 1 a 24'!$J$28:$K$34,2,FALSE)</f>
        <v>Nordeste</v>
      </c>
      <c r="E2723" s="90" t="s">
        <v>14061</v>
      </c>
      <c r="F2723" s="91">
        <v>47134</v>
      </c>
      <c r="G2723" s="92">
        <v>100608</v>
      </c>
      <c r="H2723" s="90" t="s">
        <v>11</v>
      </c>
      <c r="I27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3" s="90" t="s">
        <v>10244</v>
      </c>
    </row>
    <row r="2724" spans="1:11">
      <c r="A2724" s="90" t="s">
        <v>10243</v>
      </c>
      <c r="B2724" s="90" t="s">
        <v>10244</v>
      </c>
      <c r="C2724" s="90" t="s">
        <v>12</v>
      </c>
      <c r="D2724" s="90" t="str">
        <f>VLOOKUP(Tabela1[[#This Row],[Origem]],'Perguntas 1 a 24'!$J$28:$K$34,2,FALSE)</f>
        <v>Sudeste</v>
      </c>
      <c r="E2724" s="90" t="s">
        <v>14062</v>
      </c>
      <c r="F2724" s="91">
        <v>47134</v>
      </c>
      <c r="G2724" s="92">
        <v>55101</v>
      </c>
      <c r="H2724" s="90" t="s">
        <v>9</v>
      </c>
      <c r="I27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4" s="90" t="s">
        <v>6475</v>
      </c>
    </row>
    <row r="2725" spans="1:11">
      <c r="A2725" s="90" t="s">
        <v>6474</v>
      </c>
      <c r="B2725" s="90" t="s">
        <v>6475</v>
      </c>
      <c r="C2725" s="90" t="s">
        <v>16</v>
      </c>
      <c r="D2725" s="90" t="str">
        <f>VLOOKUP(Tabela1[[#This Row],[Origem]],'Perguntas 1 a 24'!$J$28:$K$34,2,FALSE)</f>
        <v>Sudeste</v>
      </c>
      <c r="E2725" s="90" t="s">
        <v>14063</v>
      </c>
      <c r="F2725" s="91">
        <v>47135</v>
      </c>
      <c r="G2725" s="92">
        <v>74528</v>
      </c>
      <c r="H2725" s="90" t="s">
        <v>11</v>
      </c>
      <c r="I27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5" s="90" t="s">
        <v>9910</v>
      </c>
    </row>
    <row r="2726" spans="1:11">
      <c r="A2726" s="90" t="s">
        <v>9909</v>
      </c>
      <c r="B2726" s="90" t="s">
        <v>9910</v>
      </c>
      <c r="C2726" s="90" t="s">
        <v>10</v>
      </c>
      <c r="D2726" s="90" t="str">
        <f>VLOOKUP(Tabela1[[#This Row],[Origem]],'Perguntas 1 a 24'!$J$28:$K$34,2,FALSE)</f>
        <v>Centro-Oeste</v>
      </c>
      <c r="E2726" s="90" t="s">
        <v>14064</v>
      </c>
      <c r="F2726" s="91">
        <v>47135</v>
      </c>
      <c r="G2726" s="92">
        <v>88667</v>
      </c>
      <c r="H2726" s="90" t="s">
        <v>11</v>
      </c>
      <c r="I27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6" s="90" t="s">
        <v>5501</v>
      </c>
    </row>
    <row r="2727" spans="1:11">
      <c r="A2727" s="90" t="s">
        <v>5500</v>
      </c>
      <c r="B2727" s="90" t="s">
        <v>5501</v>
      </c>
      <c r="C2727" s="90" t="s">
        <v>13</v>
      </c>
      <c r="D2727" s="90" t="str">
        <f>VLOOKUP(Tabela1[[#This Row],[Origem]],'Perguntas 1 a 24'!$J$28:$K$34,2,FALSE)</f>
        <v>Sudeste</v>
      </c>
      <c r="E2727" s="90" t="s">
        <v>14065</v>
      </c>
      <c r="F2727" s="91">
        <v>47136</v>
      </c>
      <c r="G2727" s="92">
        <v>74069</v>
      </c>
      <c r="H2727" s="90" t="s">
        <v>7</v>
      </c>
      <c r="I27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7" s="90" t="s">
        <v>10388</v>
      </c>
    </row>
    <row r="2728" spans="1:11">
      <c r="A2728" s="90" t="s">
        <v>10387</v>
      </c>
      <c r="B2728" s="90" t="s">
        <v>10388</v>
      </c>
      <c r="C2728" s="90" t="s">
        <v>8</v>
      </c>
      <c r="D2728" s="90" t="str">
        <f>VLOOKUP(Tabela1[[#This Row],[Origem]],'Perguntas 1 a 24'!$J$28:$K$34,2,FALSE)</f>
        <v>Nordeste</v>
      </c>
      <c r="E2728" s="90" t="s">
        <v>14066</v>
      </c>
      <c r="F2728" s="91">
        <v>47136</v>
      </c>
      <c r="G2728" s="92">
        <v>102866</v>
      </c>
      <c r="H2728" s="90" t="s">
        <v>9</v>
      </c>
      <c r="I27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8" s="90" t="s">
        <v>9138</v>
      </c>
    </row>
    <row r="2729" spans="1:11">
      <c r="A2729" s="90" t="s">
        <v>9137</v>
      </c>
      <c r="B2729" s="90" t="s">
        <v>9138</v>
      </c>
      <c r="C2729" s="90" t="s">
        <v>12</v>
      </c>
      <c r="D2729" s="90" t="str">
        <f>VLOOKUP(Tabela1[[#This Row],[Origem]],'Perguntas 1 a 24'!$J$28:$K$34,2,FALSE)</f>
        <v>Sudeste</v>
      </c>
      <c r="E2729" s="90" t="s">
        <v>14067</v>
      </c>
      <c r="F2729" s="91">
        <v>47138</v>
      </c>
      <c r="G2729" s="92">
        <v>104037</v>
      </c>
      <c r="H2729" s="90" t="s">
        <v>11</v>
      </c>
      <c r="I27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29" s="90" t="s">
        <v>5525</v>
      </c>
    </row>
    <row r="2730" spans="1:11">
      <c r="A2730" s="90" t="s">
        <v>5524</v>
      </c>
      <c r="B2730" s="90" t="s">
        <v>5525</v>
      </c>
      <c r="C2730" s="90" t="s">
        <v>8</v>
      </c>
      <c r="D2730" s="90" t="str">
        <f>VLOOKUP(Tabela1[[#This Row],[Origem]],'Perguntas 1 a 24'!$J$28:$K$34,2,FALSE)</f>
        <v>Nordeste</v>
      </c>
      <c r="E2730" s="90" t="s">
        <v>14068</v>
      </c>
      <c r="F2730" s="91">
        <v>47139</v>
      </c>
      <c r="G2730" s="92">
        <v>33916</v>
      </c>
      <c r="H2730" s="90" t="s">
        <v>11</v>
      </c>
      <c r="I27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0" s="90" t="s">
        <v>5777</v>
      </c>
    </row>
    <row r="2731" spans="1:11">
      <c r="A2731" s="90" t="s">
        <v>5776</v>
      </c>
      <c r="B2731" s="90" t="s">
        <v>5777</v>
      </c>
      <c r="C2731" s="90" t="s">
        <v>16</v>
      </c>
      <c r="D2731" s="90" t="str">
        <f>VLOOKUP(Tabela1[[#This Row],[Origem]],'Perguntas 1 a 24'!$J$28:$K$34,2,FALSE)</f>
        <v>Sudeste</v>
      </c>
      <c r="E2731" s="90" t="s">
        <v>14069</v>
      </c>
      <c r="F2731" s="91">
        <v>47139</v>
      </c>
      <c r="G2731" s="92">
        <v>23566</v>
      </c>
      <c r="H2731" s="90" t="s">
        <v>7</v>
      </c>
      <c r="I27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1" s="90" t="s">
        <v>9016</v>
      </c>
    </row>
    <row r="2732" spans="1:11">
      <c r="A2732" s="90" t="s">
        <v>9015</v>
      </c>
      <c r="B2732" s="90" t="s">
        <v>9016</v>
      </c>
      <c r="C2732" s="90" t="s">
        <v>10</v>
      </c>
      <c r="D2732" s="90" t="str">
        <f>VLOOKUP(Tabela1[[#This Row],[Origem]],'Perguntas 1 a 24'!$J$28:$K$34,2,FALSE)</f>
        <v>Centro-Oeste</v>
      </c>
      <c r="E2732" s="90" t="s">
        <v>14070</v>
      </c>
      <c r="F2732" s="91">
        <v>47139</v>
      </c>
      <c r="G2732" s="92">
        <v>50498</v>
      </c>
      <c r="H2732" s="90" t="s">
        <v>9</v>
      </c>
      <c r="I27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2" s="90" t="s">
        <v>7931</v>
      </c>
    </row>
    <row r="2733" spans="1:11">
      <c r="A2733" s="90" t="s">
        <v>7930</v>
      </c>
      <c r="B2733" s="90" t="s">
        <v>7931</v>
      </c>
      <c r="C2733" s="90" t="s">
        <v>6</v>
      </c>
      <c r="D2733" s="90" t="str">
        <f>VLOOKUP(Tabela1[[#This Row],[Origem]],'Perguntas 1 a 24'!$J$28:$K$34,2,FALSE)</f>
        <v>Nordeste</v>
      </c>
      <c r="E2733" s="90" t="s">
        <v>14071</v>
      </c>
      <c r="F2733" s="91">
        <v>47140</v>
      </c>
      <c r="G2733" s="92">
        <v>49360</v>
      </c>
      <c r="H2733" s="90" t="s">
        <v>11</v>
      </c>
      <c r="I27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3" s="90" t="s">
        <v>10826</v>
      </c>
    </row>
    <row r="2734" spans="1:11">
      <c r="A2734" s="90" t="s">
        <v>10825</v>
      </c>
      <c r="B2734" s="90" t="s">
        <v>10826</v>
      </c>
      <c r="C2734" s="90" t="s">
        <v>8</v>
      </c>
      <c r="D2734" s="90" t="str">
        <f>VLOOKUP(Tabela1[[#This Row],[Origem]],'Perguntas 1 a 24'!$J$28:$K$34,2,FALSE)</f>
        <v>Nordeste</v>
      </c>
      <c r="E2734" s="90" t="s">
        <v>14072</v>
      </c>
      <c r="F2734" s="91">
        <v>47140</v>
      </c>
      <c r="G2734" s="92">
        <v>63730</v>
      </c>
      <c r="H2734" s="90" t="s">
        <v>11</v>
      </c>
      <c r="I27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4" s="90" t="s">
        <v>7037</v>
      </c>
    </row>
    <row r="2735" spans="1:11">
      <c r="A2735" s="90" t="s">
        <v>7036</v>
      </c>
      <c r="B2735" s="90" t="s">
        <v>7037</v>
      </c>
      <c r="C2735" s="90" t="s">
        <v>15</v>
      </c>
      <c r="D2735" s="90" t="str">
        <f>VLOOKUP(Tabela1[[#This Row],[Origem]],'Perguntas 1 a 24'!$J$28:$K$34,2,FALSE)</f>
        <v>Sudeste</v>
      </c>
      <c r="E2735" s="90" t="s">
        <v>14073</v>
      </c>
      <c r="F2735" s="91">
        <v>47143</v>
      </c>
      <c r="G2735" s="92">
        <v>24974</v>
      </c>
      <c r="H2735" s="90" t="s">
        <v>14</v>
      </c>
      <c r="I27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5" s="90" t="s">
        <v>7877</v>
      </c>
    </row>
    <row r="2736" spans="1:11">
      <c r="A2736" s="90" t="s">
        <v>7876</v>
      </c>
      <c r="B2736" s="90" t="s">
        <v>7877</v>
      </c>
      <c r="C2736" s="90" t="s">
        <v>15</v>
      </c>
      <c r="D2736" s="90" t="str">
        <f>VLOOKUP(Tabela1[[#This Row],[Origem]],'Perguntas 1 a 24'!$J$28:$K$34,2,FALSE)</f>
        <v>Sudeste</v>
      </c>
      <c r="E2736" s="90" t="s">
        <v>14074</v>
      </c>
      <c r="F2736" s="91">
        <v>47143</v>
      </c>
      <c r="G2736" s="92">
        <v>30588</v>
      </c>
      <c r="H2736" s="90" t="s">
        <v>14</v>
      </c>
      <c r="I27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6" s="90" t="s">
        <v>4787</v>
      </c>
    </row>
    <row r="2737" spans="1:11">
      <c r="A2737" s="90" t="s">
        <v>4786</v>
      </c>
      <c r="B2737" s="90" t="s">
        <v>4787</v>
      </c>
      <c r="C2737" s="90" t="s">
        <v>13</v>
      </c>
      <c r="D2737" s="90" t="str">
        <f>VLOOKUP(Tabela1[[#This Row],[Origem]],'Perguntas 1 a 24'!$J$28:$K$34,2,FALSE)</f>
        <v>Sudeste</v>
      </c>
      <c r="E2737" s="90" t="s">
        <v>14075</v>
      </c>
      <c r="F2737" s="91">
        <v>47144</v>
      </c>
      <c r="G2737" s="92">
        <v>23416</v>
      </c>
      <c r="H2737" s="90" t="s">
        <v>14</v>
      </c>
      <c r="I27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7" s="90" t="s">
        <v>9126</v>
      </c>
    </row>
    <row r="2738" spans="1:11">
      <c r="A2738" s="90" t="s">
        <v>9125</v>
      </c>
      <c r="B2738" s="90" t="s">
        <v>9126</v>
      </c>
      <c r="C2738" s="90" t="s">
        <v>6</v>
      </c>
      <c r="D2738" s="90" t="str">
        <f>VLOOKUP(Tabela1[[#This Row],[Origem]],'Perguntas 1 a 24'!$J$28:$K$34,2,FALSE)</f>
        <v>Nordeste</v>
      </c>
      <c r="E2738" s="90" t="s">
        <v>14076</v>
      </c>
      <c r="F2738" s="91">
        <v>47144</v>
      </c>
      <c r="G2738" s="92">
        <v>86789</v>
      </c>
      <c r="H2738" s="90" t="s">
        <v>11</v>
      </c>
      <c r="I27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8" s="90" t="s">
        <v>10028</v>
      </c>
    </row>
    <row r="2739" spans="1:11">
      <c r="A2739" s="90" t="s">
        <v>10027</v>
      </c>
      <c r="B2739" s="90" t="s">
        <v>10028</v>
      </c>
      <c r="C2739" s="90" t="s">
        <v>13</v>
      </c>
      <c r="D2739" s="90" t="str">
        <f>VLOOKUP(Tabela1[[#This Row],[Origem]],'Perguntas 1 a 24'!$J$28:$K$34,2,FALSE)</f>
        <v>Sudeste</v>
      </c>
      <c r="E2739" s="90" t="s">
        <v>14077</v>
      </c>
      <c r="F2739" s="91">
        <v>47144</v>
      </c>
      <c r="G2739" s="92">
        <v>116565</v>
      </c>
      <c r="H2739" s="90" t="s">
        <v>11</v>
      </c>
      <c r="I27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39" s="90" t="s">
        <v>8832</v>
      </c>
    </row>
    <row r="2740" spans="1:11">
      <c r="A2740" s="90" t="s">
        <v>8831</v>
      </c>
      <c r="B2740" s="90" t="s">
        <v>8832</v>
      </c>
      <c r="C2740" s="90" t="s">
        <v>13</v>
      </c>
      <c r="D2740" s="90" t="str">
        <f>VLOOKUP(Tabela1[[#This Row],[Origem]],'Perguntas 1 a 24'!$J$28:$K$34,2,FALSE)</f>
        <v>Sudeste</v>
      </c>
      <c r="E2740" s="90" t="s">
        <v>14078</v>
      </c>
      <c r="F2740" s="91">
        <v>47146</v>
      </c>
      <c r="G2740" s="92">
        <v>115367</v>
      </c>
      <c r="H2740" s="90" t="s">
        <v>9</v>
      </c>
      <c r="I27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0" s="90" t="s">
        <v>10428</v>
      </c>
    </row>
    <row r="2741" spans="1:11">
      <c r="A2741" s="90" t="s">
        <v>10427</v>
      </c>
      <c r="B2741" s="90" t="s">
        <v>10428</v>
      </c>
      <c r="C2741" s="90" t="s">
        <v>16</v>
      </c>
      <c r="D2741" s="90" t="str">
        <f>VLOOKUP(Tabela1[[#This Row],[Origem]],'Perguntas 1 a 24'!$J$28:$K$34,2,FALSE)</f>
        <v>Sudeste</v>
      </c>
      <c r="E2741" s="90" t="s">
        <v>14079</v>
      </c>
      <c r="F2741" s="91">
        <v>47146</v>
      </c>
      <c r="G2741" s="92">
        <v>37417</v>
      </c>
      <c r="H2741" s="90" t="s">
        <v>14</v>
      </c>
      <c r="I27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1" s="90" t="s">
        <v>5929</v>
      </c>
    </row>
    <row r="2742" spans="1:11">
      <c r="A2742" s="90" t="s">
        <v>5928</v>
      </c>
      <c r="B2742" s="90" t="s">
        <v>5929</v>
      </c>
      <c r="C2742" s="90" t="s">
        <v>12</v>
      </c>
      <c r="D2742" s="90" t="str">
        <f>VLOOKUP(Tabela1[[#This Row],[Origem]],'Perguntas 1 a 24'!$J$28:$K$34,2,FALSE)</f>
        <v>Sudeste</v>
      </c>
      <c r="E2742" s="90" t="s">
        <v>14080</v>
      </c>
      <c r="F2742" s="91">
        <v>47147</v>
      </c>
      <c r="G2742" s="92">
        <v>29163</v>
      </c>
      <c r="H2742" s="90" t="s">
        <v>11</v>
      </c>
      <c r="I27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2" s="90" t="s">
        <v>10894</v>
      </c>
    </row>
    <row r="2743" spans="1:11">
      <c r="A2743" s="90" t="s">
        <v>10893</v>
      </c>
      <c r="B2743" s="90" t="s">
        <v>10894</v>
      </c>
      <c r="C2743" s="90" t="s">
        <v>15</v>
      </c>
      <c r="D2743" s="90" t="str">
        <f>VLOOKUP(Tabela1[[#This Row],[Origem]],'Perguntas 1 a 24'!$J$28:$K$34,2,FALSE)</f>
        <v>Sudeste</v>
      </c>
      <c r="E2743" s="90" t="s">
        <v>14081</v>
      </c>
      <c r="F2743" s="91">
        <v>47147</v>
      </c>
      <c r="G2743" s="92">
        <v>104825</v>
      </c>
      <c r="H2743" s="90" t="s">
        <v>11</v>
      </c>
      <c r="I27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3" s="90" t="s">
        <v>4837</v>
      </c>
    </row>
    <row r="2744" spans="1:11">
      <c r="A2744" s="90" t="s">
        <v>4836</v>
      </c>
      <c r="B2744" s="90" t="s">
        <v>4837</v>
      </c>
      <c r="C2744" s="90" t="s">
        <v>8</v>
      </c>
      <c r="D2744" s="90" t="str">
        <f>VLOOKUP(Tabela1[[#This Row],[Origem]],'Perguntas 1 a 24'!$J$28:$K$34,2,FALSE)</f>
        <v>Nordeste</v>
      </c>
      <c r="E2744" s="90" t="s">
        <v>14082</v>
      </c>
      <c r="F2744" s="91">
        <v>47149</v>
      </c>
      <c r="G2744" s="92">
        <v>100469</v>
      </c>
      <c r="H2744" s="90" t="s">
        <v>14</v>
      </c>
      <c r="I27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4" s="90" t="s">
        <v>10442</v>
      </c>
    </row>
    <row r="2745" spans="1:11">
      <c r="A2745" s="90" t="s">
        <v>10441</v>
      </c>
      <c r="B2745" s="90" t="s">
        <v>10442</v>
      </c>
      <c r="C2745" s="90" t="s">
        <v>12</v>
      </c>
      <c r="D2745" s="90" t="str">
        <f>VLOOKUP(Tabela1[[#This Row],[Origem]],'Perguntas 1 a 24'!$J$28:$K$34,2,FALSE)</f>
        <v>Sudeste</v>
      </c>
      <c r="E2745" s="90" t="s">
        <v>14083</v>
      </c>
      <c r="F2745" s="91">
        <v>47149</v>
      </c>
      <c r="G2745" s="92">
        <v>76396</v>
      </c>
      <c r="H2745" s="90" t="s">
        <v>11</v>
      </c>
      <c r="I27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5" s="90" t="s">
        <v>6557</v>
      </c>
    </row>
    <row r="2746" spans="1:11">
      <c r="A2746" s="90" t="s">
        <v>6556</v>
      </c>
      <c r="B2746" s="90" t="s">
        <v>6557</v>
      </c>
      <c r="C2746" s="90" t="s">
        <v>10</v>
      </c>
      <c r="D2746" s="90" t="str">
        <f>VLOOKUP(Tabela1[[#This Row],[Origem]],'Perguntas 1 a 24'!$J$28:$K$34,2,FALSE)</f>
        <v>Centro-Oeste</v>
      </c>
      <c r="E2746" s="90" t="s">
        <v>14084</v>
      </c>
      <c r="F2746" s="91">
        <v>47150</v>
      </c>
      <c r="G2746" s="92">
        <v>103289</v>
      </c>
      <c r="H2746" s="90" t="s">
        <v>14</v>
      </c>
      <c r="I27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6" s="90" t="s">
        <v>4224</v>
      </c>
    </row>
    <row r="2747" spans="1:11">
      <c r="A2747" s="90" t="s">
        <v>4223</v>
      </c>
      <c r="B2747" s="90" t="s">
        <v>4224</v>
      </c>
      <c r="C2747" s="90" t="s">
        <v>8</v>
      </c>
      <c r="D2747" s="90" t="str">
        <f>VLOOKUP(Tabela1[[#This Row],[Origem]],'Perguntas 1 a 24'!$J$28:$K$34,2,FALSE)</f>
        <v>Nordeste</v>
      </c>
      <c r="E2747" s="90" t="s">
        <v>14085</v>
      </c>
      <c r="F2747" s="91">
        <v>47151</v>
      </c>
      <c r="G2747" s="92">
        <v>107355</v>
      </c>
      <c r="H2747" s="90" t="s">
        <v>9</v>
      </c>
      <c r="I27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7" s="90" t="s">
        <v>4491</v>
      </c>
    </row>
    <row r="2748" spans="1:11">
      <c r="A2748" s="90" t="s">
        <v>4490</v>
      </c>
      <c r="B2748" s="90" t="s">
        <v>4491</v>
      </c>
      <c r="C2748" s="90" t="s">
        <v>16</v>
      </c>
      <c r="D2748" s="90" t="str">
        <f>VLOOKUP(Tabela1[[#This Row],[Origem]],'Perguntas 1 a 24'!$J$28:$K$34,2,FALSE)</f>
        <v>Sudeste</v>
      </c>
      <c r="E2748" s="90" t="s">
        <v>14086</v>
      </c>
      <c r="F2748" s="91">
        <v>47151</v>
      </c>
      <c r="G2748" s="92">
        <v>102082</v>
      </c>
      <c r="H2748" s="90" t="s">
        <v>11</v>
      </c>
      <c r="I27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8" s="90" t="s">
        <v>8481</v>
      </c>
    </row>
    <row r="2749" spans="1:11">
      <c r="A2749" s="90" t="s">
        <v>8480</v>
      </c>
      <c r="B2749" s="90" t="s">
        <v>8481</v>
      </c>
      <c r="C2749" s="90" t="s">
        <v>15</v>
      </c>
      <c r="D2749" s="90" t="str">
        <f>VLOOKUP(Tabela1[[#This Row],[Origem]],'Perguntas 1 a 24'!$J$28:$K$34,2,FALSE)</f>
        <v>Sudeste</v>
      </c>
      <c r="E2749" s="90" t="s">
        <v>14087</v>
      </c>
      <c r="F2749" s="91">
        <v>47152</v>
      </c>
      <c r="G2749" s="92">
        <v>33253</v>
      </c>
      <c r="H2749" s="90" t="s">
        <v>14</v>
      </c>
      <c r="I27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49" s="90" t="s">
        <v>6201</v>
      </c>
    </row>
    <row r="2750" spans="1:11">
      <c r="A2750" s="90" t="s">
        <v>6200</v>
      </c>
      <c r="B2750" s="90" t="s">
        <v>6201</v>
      </c>
      <c r="C2750" s="90" t="s">
        <v>13</v>
      </c>
      <c r="D2750" s="90" t="str">
        <f>VLOOKUP(Tabela1[[#This Row],[Origem]],'Perguntas 1 a 24'!$J$28:$K$34,2,FALSE)</f>
        <v>Sudeste</v>
      </c>
      <c r="E2750" s="90" t="s">
        <v>14088</v>
      </c>
      <c r="F2750" s="91">
        <v>47153</v>
      </c>
      <c r="G2750" s="92">
        <v>53501</v>
      </c>
      <c r="H2750" s="90" t="s">
        <v>7</v>
      </c>
      <c r="I27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0" s="90" t="s">
        <v>10228</v>
      </c>
    </row>
    <row r="2751" spans="1:11">
      <c r="A2751" s="90" t="s">
        <v>10227</v>
      </c>
      <c r="B2751" s="90" t="s">
        <v>10228</v>
      </c>
      <c r="C2751" s="90" t="s">
        <v>13</v>
      </c>
      <c r="D2751" s="90" t="str">
        <f>VLOOKUP(Tabela1[[#This Row],[Origem]],'Perguntas 1 a 24'!$J$28:$K$34,2,FALSE)</f>
        <v>Sudeste</v>
      </c>
      <c r="E2751" s="90" t="s">
        <v>14089</v>
      </c>
      <c r="F2751" s="91">
        <v>47153</v>
      </c>
      <c r="G2751" s="92">
        <v>76381</v>
      </c>
      <c r="H2751" s="90" t="s">
        <v>9</v>
      </c>
      <c r="I27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1" s="90" t="s">
        <v>4527</v>
      </c>
    </row>
    <row r="2752" spans="1:11">
      <c r="A2752" s="90" t="s">
        <v>4526</v>
      </c>
      <c r="B2752" s="90" t="s">
        <v>4527</v>
      </c>
      <c r="C2752" s="90" t="s">
        <v>13</v>
      </c>
      <c r="D2752" s="90" t="str">
        <f>VLOOKUP(Tabela1[[#This Row],[Origem]],'Perguntas 1 a 24'!$J$28:$K$34,2,FALSE)</f>
        <v>Sudeste</v>
      </c>
      <c r="E2752" s="90" t="s">
        <v>14090</v>
      </c>
      <c r="F2752" s="91">
        <v>47154</v>
      </c>
      <c r="G2752" s="92">
        <v>38958</v>
      </c>
      <c r="H2752" s="90" t="s">
        <v>11</v>
      </c>
      <c r="I27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2" s="90" t="s">
        <v>6431</v>
      </c>
    </row>
    <row r="2753" spans="1:11">
      <c r="A2753" s="90" t="s">
        <v>6430</v>
      </c>
      <c r="B2753" s="90" t="s">
        <v>6431</v>
      </c>
      <c r="C2753" s="90" t="s">
        <v>12</v>
      </c>
      <c r="D2753" s="90" t="str">
        <f>VLOOKUP(Tabela1[[#This Row],[Origem]],'Perguntas 1 a 24'!$J$28:$K$34,2,FALSE)</f>
        <v>Sudeste</v>
      </c>
      <c r="E2753" s="90" t="s">
        <v>14091</v>
      </c>
      <c r="F2753" s="91">
        <v>47155</v>
      </c>
      <c r="G2753" s="92">
        <v>21941</v>
      </c>
      <c r="H2753" s="90" t="s">
        <v>14</v>
      </c>
      <c r="I27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3" s="90" t="s">
        <v>8479</v>
      </c>
    </row>
    <row r="2754" spans="1:11">
      <c r="A2754" s="90" t="s">
        <v>8478</v>
      </c>
      <c r="B2754" s="90" t="s">
        <v>8479</v>
      </c>
      <c r="C2754" s="90" t="s">
        <v>16</v>
      </c>
      <c r="D2754" s="90" t="str">
        <f>VLOOKUP(Tabela1[[#This Row],[Origem]],'Perguntas 1 a 24'!$J$28:$K$34,2,FALSE)</f>
        <v>Sudeste</v>
      </c>
      <c r="E2754" s="90" t="s">
        <v>14092</v>
      </c>
      <c r="F2754" s="91">
        <v>47155</v>
      </c>
      <c r="G2754" s="92">
        <v>37379</v>
      </c>
      <c r="H2754" s="90" t="s">
        <v>14</v>
      </c>
      <c r="I27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4" s="90" t="s">
        <v>8860</v>
      </c>
    </row>
    <row r="2755" spans="1:11">
      <c r="A2755" s="90" t="s">
        <v>8859</v>
      </c>
      <c r="B2755" s="90" t="s">
        <v>8860</v>
      </c>
      <c r="C2755" s="90" t="s">
        <v>15</v>
      </c>
      <c r="D2755" s="90" t="str">
        <f>VLOOKUP(Tabela1[[#This Row],[Origem]],'Perguntas 1 a 24'!$J$28:$K$34,2,FALSE)</f>
        <v>Sudeste</v>
      </c>
      <c r="E2755" s="90" t="s">
        <v>14093</v>
      </c>
      <c r="F2755" s="91">
        <v>47155</v>
      </c>
      <c r="G2755" s="92">
        <v>81867</v>
      </c>
      <c r="H2755" s="90" t="s">
        <v>11</v>
      </c>
      <c r="I27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5" s="90" t="s">
        <v>7621</v>
      </c>
    </row>
    <row r="2756" spans="1:11">
      <c r="A2756" s="90" t="s">
        <v>7620</v>
      </c>
      <c r="B2756" s="90" t="s">
        <v>7621</v>
      </c>
      <c r="C2756" s="90" t="s">
        <v>15</v>
      </c>
      <c r="D2756" s="90" t="str">
        <f>VLOOKUP(Tabela1[[#This Row],[Origem]],'Perguntas 1 a 24'!$J$28:$K$34,2,FALSE)</f>
        <v>Sudeste</v>
      </c>
      <c r="E2756" s="90" t="s">
        <v>14094</v>
      </c>
      <c r="F2756" s="91">
        <v>47156</v>
      </c>
      <c r="G2756" s="92">
        <v>95858</v>
      </c>
      <c r="H2756" s="90" t="s">
        <v>7</v>
      </c>
      <c r="I27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6" s="90" t="s">
        <v>7989</v>
      </c>
    </row>
    <row r="2757" spans="1:11">
      <c r="A2757" s="90" t="s">
        <v>7988</v>
      </c>
      <c r="B2757" s="90" t="s">
        <v>7989</v>
      </c>
      <c r="C2757" s="90" t="s">
        <v>12</v>
      </c>
      <c r="D2757" s="90" t="str">
        <f>VLOOKUP(Tabela1[[#This Row],[Origem]],'Perguntas 1 a 24'!$J$28:$K$34,2,FALSE)</f>
        <v>Sudeste</v>
      </c>
      <c r="E2757" s="90" t="s">
        <v>14095</v>
      </c>
      <c r="F2757" s="91">
        <v>47156</v>
      </c>
      <c r="G2757" s="92">
        <v>93075</v>
      </c>
      <c r="H2757" s="90" t="s">
        <v>7</v>
      </c>
      <c r="I27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7" s="90" t="s">
        <v>8822</v>
      </c>
    </row>
    <row r="2758" spans="1:11">
      <c r="A2758" s="90" t="s">
        <v>8821</v>
      </c>
      <c r="B2758" s="90" t="s">
        <v>8822</v>
      </c>
      <c r="C2758" s="90" t="s">
        <v>16</v>
      </c>
      <c r="D2758" s="90" t="str">
        <f>VLOOKUP(Tabela1[[#This Row],[Origem]],'Perguntas 1 a 24'!$J$28:$K$34,2,FALSE)</f>
        <v>Sudeste</v>
      </c>
      <c r="E2758" s="90" t="s">
        <v>14096</v>
      </c>
      <c r="F2758" s="91">
        <v>47158</v>
      </c>
      <c r="G2758" s="92">
        <v>115627</v>
      </c>
      <c r="H2758" s="90" t="s">
        <v>7</v>
      </c>
      <c r="I27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8" s="90" t="s">
        <v>9300</v>
      </c>
    </row>
    <row r="2759" spans="1:11">
      <c r="A2759" s="90" t="s">
        <v>9299</v>
      </c>
      <c r="B2759" s="90" t="s">
        <v>9300</v>
      </c>
      <c r="C2759" s="90" t="s">
        <v>16</v>
      </c>
      <c r="D2759" s="90" t="str">
        <f>VLOOKUP(Tabela1[[#This Row],[Origem]],'Perguntas 1 a 24'!$J$28:$K$34,2,FALSE)</f>
        <v>Sudeste</v>
      </c>
      <c r="E2759" s="90" t="s">
        <v>14097</v>
      </c>
      <c r="F2759" s="91">
        <v>47158</v>
      </c>
      <c r="G2759" s="92">
        <v>114248</v>
      </c>
      <c r="H2759" s="90" t="s">
        <v>14</v>
      </c>
      <c r="I27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59" s="90" t="s">
        <v>11258</v>
      </c>
    </row>
    <row r="2760" spans="1:11">
      <c r="A2760" s="90" t="s">
        <v>11257</v>
      </c>
      <c r="B2760" s="90" t="s">
        <v>11258</v>
      </c>
      <c r="C2760" s="90" t="s">
        <v>15</v>
      </c>
      <c r="D2760" s="90" t="str">
        <f>VLOOKUP(Tabela1[[#This Row],[Origem]],'Perguntas 1 a 24'!$J$28:$K$34,2,FALSE)</f>
        <v>Sudeste</v>
      </c>
      <c r="E2760" s="90" t="s">
        <v>14098</v>
      </c>
      <c r="F2760" s="91">
        <v>47158</v>
      </c>
      <c r="G2760" s="92">
        <v>27025</v>
      </c>
      <c r="H2760" s="90" t="s">
        <v>11</v>
      </c>
      <c r="I27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0" s="90" t="s">
        <v>4450</v>
      </c>
    </row>
    <row r="2761" spans="1:11">
      <c r="A2761" s="90" t="s">
        <v>4449</v>
      </c>
      <c r="B2761" s="90" t="s">
        <v>4450</v>
      </c>
      <c r="C2761" s="90" t="s">
        <v>15</v>
      </c>
      <c r="D2761" s="90" t="str">
        <f>VLOOKUP(Tabela1[[#This Row],[Origem]],'Perguntas 1 a 24'!$J$28:$K$34,2,FALSE)</f>
        <v>Sudeste</v>
      </c>
      <c r="E2761" s="90" t="s">
        <v>14099</v>
      </c>
      <c r="F2761" s="91">
        <v>47160</v>
      </c>
      <c r="G2761" s="92">
        <v>32995</v>
      </c>
      <c r="H2761" s="90" t="s">
        <v>14</v>
      </c>
      <c r="I27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1" s="90" t="s">
        <v>5449</v>
      </c>
    </row>
    <row r="2762" spans="1:11">
      <c r="A2762" s="90" t="s">
        <v>5448</v>
      </c>
      <c r="B2762" s="90" t="s">
        <v>5449</v>
      </c>
      <c r="C2762" s="90" t="s">
        <v>16</v>
      </c>
      <c r="D2762" s="90" t="str">
        <f>VLOOKUP(Tabela1[[#This Row],[Origem]],'Perguntas 1 a 24'!$J$28:$K$34,2,FALSE)</f>
        <v>Sudeste</v>
      </c>
      <c r="E2762" s="90" t="s">
        <v>14100</v>
      </c>
      <c r="F2762" s="91">
        <v>47160</v>
      </c>
      <c r="G2762" s="92">
        <v>61197</v>
      </c>
      <c r="H2762" s="90" t="s">
        <v>9</v>
      </c>
      <c r="I27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2" s="90" t="s">
        <v>5769</v>
      </c>
    </row>
    <row r="2763" spans="1:11">
      <c r="A2763" s="90" t="s">
        <v>5768</v>
      </c>
      <c r="B2763" s="90" t="s">
        <v>5769</v>
      </c>
      <c r="C2763" s="90" t="s">
        <v>16</v>
      </c>
      <c r="D2763" s="90" t="str">
        <f>VLOOKUP(Tabela1[[#This Row],[Origem]],'Perguntas 1 a 24'!$J$28:$K$34,2,FALSE)</f>
        <v>Sudeste</v>
      </c>
      <c r="E2763" s="90" t="s">
        <v>14101</v>
      </c>
      <c r="F2763" s="91">
        <v>47160</v>
      </c>
      <c r="G2763" s="92">
        <v>97576</v>
      </c>
      <c r="H2763" s="90" t="s">
        <v>14</v>
      </c>
      <c r="I27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3" s="90" t="s">
        <v>5077</v>
      </c>
    </row>
    <row r="2764" spans="1:11">
      <c r="A2764" s="90" t="s">
        <v>5076</v>
      </c>
      <c r="B2764" s="90" t="s">
        <v>5077</v>
      </c>
      <c r="C2764" s="90" t="s">
        <v>15</v>
      </c>
      <c r="D2764" s="90" t="str">
        <f>VLOOKUP(Tabela1[[#This Row],[Origem]],'Perguntas 1 a 24'!$J$28:$K$34,2,FALSE)</f>
        <v>Sudeste</v>
      </c>
      <c r="E2764" s="90" t="s">
        <v>14102</v>
      </c>
      <c r="F2764" s="91">
        <v>47161</v>
      </c>
      <c r="G2764" s="92">
        <v>67391</v>
      </c>
      <c r="H2764" s="90" t="s">
        <v>9</v>
      </c>
      <c r="I27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4" s="90" t="s">
        <v>6805</v>
      </c>
    </row>
    <row r="2765" spans="1:11">
      <c r="A2765" s="90" t="s">
        <v>6804</v>
      </c>
      <c r="B2765" s="90" t="s">
        <v>6805</v>
      </c>
      <c r="C2765" s="90" t="s">
        <v>16</v>
      </c>
      <c r="D2765" s="90" t="str">
        <f>VLOOKUP(Tabela1[[#This Row],[Origem]],'Perguntas 1 a 24'!$J$28:$K$34,2,FALSE)</f>
        <v>Sudeste</v>
      </c>
      <c r="E2765" s="90" t="s">
        <v>14103</v>
      </c>
      <c r="F2765" s="91">
        <v>47161</v>
      </c>
      <c r="G2765" s="92">
        <v>34513</v>
      </c>
      <c r="H2765" s="90" t="s">
        <v>9</v>
      </c>
      <c r="I27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5" s="90" t="s">
        <v>6885</v>
      </c>
    </row>
    <row r="2766" spans="1:11">
      <c r="A2766" s="90" t="s">
        <v>6884</v>
      </c>
      <c r="B2766" s="90" t="s">
        <v>6885</v>
      </c>
      <c r="C2766" s="90" t="s">
        <v>13</v>
      </c>
      <c r="D2766" s="90" t="str">
        <f>VLOOKUP(Tabela1[[#This Row],[Origem]],'Perguntas 1 a 24'!$J$28:$K$34,2,FALSE)</f>
        <v>Sudeste</v>
      </c>
      <c r="E2766" s="90" t="s">
        <v>14104</v>
      </c>
      <c r="F2766" s="91">
        <v>47161</v>
      </c>
      <c r="G2766" s="92">
        <v>62434</v>
      </c>
      <c r="H2766" s="90" t="s">
        <v>11</v>
      </c>
      <c r="I27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6" s="90" t="s">
        <v>10886</v>
      </c>
    </row>
    <row r="2767" spans="1:11">
      <c r="A2767" s="90" t="s">
        <v>10885</v>
      </c>
      <c r="B2767" s="90" t="s">
        <v>10886</v>
      </c>
      <c r="C2767" s="90" t="s">
        <v>13</v>
      </c>
      <c r="D2767" s="90" t="str">
        <f>VLOOKUP(Tabela1[[#This Row],[Origem]],'Perguntas 1 a 24'!$J$28:$K$34,2,FALSE)</f>
        <v>Sudeste</v>
      </c>
      <c r="E2767" s="90" t="s">
        <v>14105</v>
      </c>
      <c r="F2767" s="91">
        <v>47161</v>
      </c>
      <c r="G2767" s="92">
        <v>59016</v>
      </c>
      <c r="H2767" s="90" t="s">
        <v>7</v>
      </c>
      <c r="I27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7" s="90" t="s">
        <v>3694</v>
      </c>
    </row>
    <row r="2768" spans="1:11">
      <c r="A2768" s="90" t="s">
        <v>3693</v>
      </c>
      <c r="B2768" s="90" t="s">
        <v>3694</v>
      </c>
      <c r="C2768" s="90" t="s">
        <v>6</v>
      </c>
      <c r="D2768" s="90" t="str">
        <f>VLOOKUP(Tabela1[[#This Row],[Origem]],'Perguntas 1 a 24'!$J$28:$K$34,2,FALSE)</f>
        <v>Nordeste</v>
      </c>
      <c r="E2768" s="90" t="s">
        <v>14106</v>
      </c>
      <c r="F2768" s="91">
        <v>47162</v>
      </c>
      <c r="G2768" s="92">
        <v>112629</v>
      </c>
      <c r="H2768" s="90" t="s">
        <v>7</v>
      </c>
      <c r="I27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8" s="90" t="s">
        <v>10756</v>
      </c>
    </row>
    <row r="2769" spans="1:11">
      <c r="A2769" s="90" t="s">
        <v>10755</v>
      </c>
      <c r="B2769" s="90" t="s">
        <v>10756</v>
      </c>
      <c r="C2769" s="90" t="s">
        <v>16</v>
      </c>
      <c r="D2769" s="90" t="str">
        <f>VLOOKUP(Tabela1[[#This Row],[Origem]],'Perguntas 1 a 24'!$J$28:$K$34,2,FALSE)</f>
        <v>Sudeste</v>
      </c>
      <c r="E2769" s="90" t="s">
        <v>14107</v>
      </c>
      <c r="F2769" s="91">
        <v>47163</v>
      </c>
      <c r="G2769" s="92">
        <v>46428</v>
      </c>
      <c r="H2769" s="90" t="s">
        <v>11</v>
      </c>
      <c r="I27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69" s="90" t="s">
        <v>7195</v>
      </c>
    </row>
    <row r="2770" spans="1:11">
      <c r="A2770" s="90" t="s">
        <v>7194</v>
      </c>
      <c r="B2770" s="90" t="s">
        <v>7195</v>
      </c>
      <c r="C2770" s="90" t="s">
        <v>6</v>
      </c>
      <c r="D2770" s="90" t="str">
        <f>VLOOKUP(Tabela1[[#This Row],[Origem]],'Perguntas 1 a 24'!$J$28:$K$34,2,FALSE)</f>
        <v>Nordeste</v>
      </c>
      <c r="E2770" s="90" t="s">
        <v>14108</v>
      </c>
      <c r="F2770" s="91">
        <v>47164</v>
      </c>
      <c r="G2770" s="92">
        <v>42451</v>
      </c>
      <c r="H2770" s="90" t="s">
        <v>14</v>
      </c>
      <c r="I27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0" s="90" t="s">
        <v>11013</v>
      </c>
    </row>
    <row r="2771" spans="1:11">
      <c r="A2771" s="90" t="s">
        <v>11012</v>
      </c>
      <c r="B2771" s="90" t="s">
        <v>11013</v>
      </c>
      <c r="C2771" s="90" t="s">
        <v>6</v>
      </c>
      <c r="D2771" s="90" t="str">
        <f>VLOOKUP(Tabela1[[#This Row],[Origem]],'Perguntas 1 a 24'!$J$28:$K$34,2,FALSE)</f>
        <v>Nordeste</v>
      </c>
      <c r="E2771" s="90" t="s">
        <v>14109</v>
      </c>
      <c r="F2771" s="91">
        <v>47164</v>
      </c>
      <c r="G2771" s="92">
        <v>58333</v>
      </c>
      <c r="H2771" s="90" t="s">
        <v>9</v>
      </c>
      <c r="I27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1" s="90" t="s">
        <v>7455</v>
      </c>
    </row>
    <row r="2772" spans="1:11">
      <c r="A2772" s="90" t="s">
        <v>7454</v>
      </c>
      <c r="B2772" s="90" t="s">
        <v>7455</v>
      </c>
      <c r="C2772" s="90" t="s">
        <v>6</v>
      </c>
      <c r="D2772" s="90" t="str">
        <f>VLOOKUP(Tabela1[[#This Row],[Origem]],'Perguntas 1 a 24'!$J$28:$K$34,2,FALSE)</f>
        <v>Nordeste</v>
      </c>
      <c r="E2772" s="90" t="s">
        <v>14110</v>
      </c>
      <c r="F2772" s="91">
        <v>47165</v>
      </c>
      <c r="G2772" s="92">
        <v>78444</v>
      </c>
      <c r="H2772" s="90" t="s">
        <v>7</v>
      </c>
      <c r="I27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2" s="90" t="s">
        <v>8415</v>
      </c>
    </row>
    <row r="2773" spans="1:11">
      <c r="A2773" s="90" t="s">
        <v>8414</v>
      </c>
      <c r="B2773" s="90" t="s">
        <v>8415</v>
      </c>
      <c r="C2773" s="90" t="s">
        <v>8</v>
      </c>
      <c r="D2773" s="90" t="str">
        <f>VLOOKUP(Tabela1[[#This Row],[Origem]],'Perguntas 1 a 24'!$J$28:$K$34,2,FALSE)</f>
        <v>Nordeste</v>
      </c>
      <c r="E2773" s="90" t="s">
        <v>14111</v>
      </c>
      <c r="F2773" s="91">
        <v>47165</v>
      </c>
      <c r="G2773" s="92">
        <v>99526</v>
      </c>
      <c r="H2773" s="90" t="s">
        <v>11</v>
      </c>
      <c r="I27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3" s="90" t="s">
        <v>8974</v>
      </c>
    </row>
    <row r="2774" spans="1:11">
      <c r="A2774" s="90" t="s">
        <v>8973</v>
      </c>
      <c r="B2774" s="90" t="s">
        <v>8974</v>
      </c>
      <c r="C2774" s="90" t="s">
        <v>13</v>
      </c>
      <c r="D2774" s="90" t="str">
        <f>VLOOKUP(Tabela1[[#This Row],[Origem]],'Perguntas 1 a 24'!$J$28:$K$34,2,FALSE)</f>
        <v>Sudeste</v>
      </c>
      <c r="E2774" s="90" t="s">
        <v>14112</v>
      </c>
      <c r="F2774" s="91">
        <v>47166</v>
      </c>
      <c r="G2774" s="92">
        <v>102372</v>
      </c>
      <c r="H2774" s="90" t="s">
        <v>11</v>
      </c>
      <c r="I27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4" s="90" t="s">
        <v>8193</v>
      </c>
    </row>
    <row r="2775" spans="1:11">
      <c r="A2775" s="90" t="s">
        <v>8192</v>
      </c>
      <c r="B2775" s="90" t="s">
        <v>8193</v>
      </c>
      <c r="C2775" s="90" t="s">
        <v>16</v>
      </c>
      <c r="D2775" s="90" t="str">
        <f>VLOOKUP(Tabela1[[#This Row],[Origem]],'Perguntas 1 a 24'!$J$28:$K$34,2,FALSE)</f>
        <v>Sudeste</v>
      </c>
      <c r="E2775" s="90" t="s">
        <v>14113</v>
      </c>
      <c r="F2775" s="91">
        <v>47167</v>
      </c>
      <c r="G2775" s="92">
        <v>29172</v>
      </c>
      <c r="H2775" s="90" t="s">
        <v>9</v>
      </c>
      <c r="I27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5" s="90" t="s">
        <v>8578</v>
      </c>
    </row>
    <row r="2776" spans="1:11">
      <c r="A2776" s="90" t="s">
        <v>8577</v>
      </c>
      <c r="B2776" s="90" t="s">
        <v>8578</v>
      </c>
      <c r="C2776" s="90" t="s">
        <v>8</v>
      </c>
      <c r="D2776" s="90" t="str">
        <f>VLOOKUP(Tabela1[[#This Row],[Origem]],'Perguntas 1 a 24'!$J$28:$K$34,2,FALSE)</f>
        <v>Nordeste</v>
      </c>
      <c r="E2776" s="90" t="s">
        <v>14114</v>
      </c>
      <c r="F2776" s="91">
        <v>47167</v>
      </c>
      <c r="G2776" s="92">
        <v>105810</v>
      </c>
      <c r="H2776" s="90" t="s">
        <v>9</v>
      </c>
      <c r="I27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6" s="90" t="s">
        <v>9986</v>
      </c>
    </row>
    <row r="2777" spans="1:11">
      <c r="A2777" s="90" t="s">
        <v>9985</v>
      </c>
      <c r="B2777" s="90" t="s">
        <v>9986</v>
      </c>
      <c r="C2777" s="90" t="s">
        <v>15</v>
      </c>
      <c r="D2777" s="90" t="str">
        <f>VLOOKUP(Tabela1[[#This Row],[Origem]],'Perguntas 1 a 24'!$J$28:$K$34,2,FALSE)</f>
        <v>Sudeste</v>
      </c>
      <c r="E2777" s="90" t="s">
        <v>14115</v>
      </c>
      <c r="F2777" s="91">
        <v>47167</v>
      </c>
      <c r="G2777" s="92">
        <v>86615</v>
      </c>
      <c r="H2777" s="90" t="s">
        <v>7</v>
      </c>
      <c r="I27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7" s="90" t="s">
        <v>10214</v>
      </c>
    </row>
    <row r="2778" spans="1:11">
      <c r="A2778" s="90" t="s">
        <v>10213</v>
      </c>
      <c r="B2778" s="90" t="s">
        <v>10214</v>
      </c>
      <c r="C2778" s="90" t="s">
        <v>8</v>
      </c>
      <c r="D2778" s="90" t="str">
        <f>VLOOKUP(Tabela1[[#This Row],[Origem]],'Perguntas 1 a 24'!$J$28:$K$34,2,FALSE)</f>
        <v>Nordeste</v>
      </c>
      <c r="E2778" s="90" t="s">
        <v>14116</v>
      </c>
      <c r="F2778" s="91">
        <v>47167</v>
      </c>
      <c r="G2778" s="92">
        <v>65928</v>
      </c>
      <c r="H2778" s="90" t="s">
        <v>9</v>
      </c>
      <c r="I27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8" s="90" t="s">
        <v>8924</v>
      </c>
    </row>
    <row r="2779" spans="1:11">
      <c r="A2779" s="90" t="s">
        <v>8923</v>
      </c>
      <c r="B2779" s="90" t="s">
        <v>8924</v>
      </c>
      <c r="C2779" s="90" t="s">
        <v>12</v>
      </c>
      <c r="D2779" s="90" t="str">
        <f>VLOOKUP(Tabela1[[#This Row],[Origem]],'Perguntas 1 a 24'!$J$28:$K$34,2,FALSE)</f>
        <v>Sudeste</v>
      </c>
      <c r="E2779" s="90" t="s">
        <v>14117</v>
      </c>
      <c r="F2779" s="91">
        <v>47168</v>
      </c>
      <c r="G2779" s="92">
        <v>27664</v>
      </c>
      <c r="H2779" s="90" t="s">
        <v>11</v>
      </c>
      <c r="I27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79" s="90" t="s">
        <v>6575</v>
      </c>
    </row>
    <row r="2780" spans="1:11">
      <c r="A2780" s="90" t="s">
        <v>6574</v>
      </c>
      <c r="B2780" s="90" t="s">
        <v>6575</v>
      </c>
      <c r="C2780" s="90" t="s">
        <v>15</v>
      </c>
      <c r="D2780" s="90" t="str">
        <f>VLOOKUP(Tabela1[[#This Row],[Origem]],'Perguntas 1 a 24'!$J$28:$K$34,2,FALSE)</f>
        <v>Sudeste</v>
      </c>
      <c r="E2780" s="90" t="s">
        <v>14118</v>
      </c>
      <c r="F2780" s="91">
        <v>47169</v>
      </c>
      <c r="G2780" s="92">
        <v>42529</v>
      </c>
      <c r="H2780" s="90" t="s">
        <v>9</v>
      </c>
      <c r="I27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0" s="90" t="s">
        <v>6679</v>
      </c>
    </row>
    <row r="2781" spans="1:11">
      <c r="A2781" s="90" t="s">
        <v>6678</v>
      </c>
      <c r="B2781" s="90" t="s">
        <v>6679</v>
      </c>
      <c r="C2781" s="90" t="s">
        <v>8</v>
      </c>
      <c r="D2781" s="90" t="str">
        <f>VLOOKUP(Tabela1[[#This Row],[Origem]],'Perguntas 1 a 24'!$J$28:$K$34,2,FALSE)</f>
        <v>Nordeste</v>
      </c>
      <c r="E2781" s="90" t="s">
        <v>14119</v>
      </c>
      <c r="F2781" s="91">
        <v>47170</v>
      </c>
      <c r="G2781" s="92">
        <v>63397</v>
      </c>
      <c r="H2781" s="90" t="s">
        <v>9</v>
      </c>
      <c r="I27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1" s="90" t="s">
        <v>6701</v>
      </c>
    </row>
    <row r="2782" spans="1:11">
      <c r="A2782" s="90" t="s">
        <v>6700</v>
      </c>
      <c r="B2782" s="90" t="s">
        <v>6701</v>
      </c>
      <c r="C2782" s="90" t="s">
        <v>16</v>
      </c>
      <c r="D2782" s="90" t="str">
        <f>VLOOKUP(Tabela1[[#This Row],[Origem]],'Perguntas 1 a 24'!$J$28:$K$34,2,FALSE)</f>
        <v>Sudeste</v>
      </c>
      <c r="E2782" s="90" t="s">
        <v>14120</v>
      </c>
      <c r="F2782" s="91">
        <v>47170</v>
      </c>
      <c r="G2782" s="92">
        <v>20212</v>
      </c>
      <c r="H2782" s="90" t="s">
        <v>14</v>
      </c>
      <c r="I27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2" s="90" t="s">
        <v>5185</v>
      </c>
    </row>
    <row r="2783" spans="1:11">
      <c r="A2783" s="90" t="s">
        <v>5184</v>
      </c>
      <c r="B2783" s="90" t="s">
        <v>5185</v>
      </c>
      <c r="C2783" s="90" t="s">
        <v>10</v>
      </c>
      <c r="D2783" s="90" t="str">
        <f>VLOOKUP(Tabela1[[#This Row],[Origem]],'Perguntas 1 a 24'!$J$28:$K$34,2,FALSE)</f>
        <v>Centro-Oeste</v>
      </c>
      <c r="E2783" s="90" t="s">
        <v>14121</v>
      </c>
      <c r="F2783" s="91">
        <v>47171</v>
      </c>
      <c r="G2783" s="92">
        <v>93420</v>
      </c>
      <c r="H2783" s="90" t="s">
        <v>9</v>
      </c>
      <c r="I27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3" s="90" t="s">
        <v>7299</v>
      </c>
    </row>
    <row r="2784" spans="1:11">
      <c r="A2784" s="90" t="s">
        <v>7298</v>
      </c>
      <c r="B2784" s="90" t="s">
        <v>7299</v>
      </c>
      <c r="C2784" s="90" t="s">
        <v>8</v>
      </c>
      <c r="D2784" s="90" t="str">
        <f>VLOOKUP(Tabela1[[#This Row],[Origem]],'Perguntas 1 a 24'!$J$28:$K$34,2,FALSE)</f>
        <v>Nordeste</v>
      </c>
      <c r="E2784" s="90" t="s">
        <v>14122</v>
      </c>
      <c r="F2784" s="91">
        <v>47171</v>
      </c>
      <c r="G2784" s="92">
        <v>30573</v>
      </c>
      <c r="H2784" s="90" t="s">
        <v>14</v>
      </c>
      <c r="I27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4" s="90" t="s">
        <v>10960</v>
      </c>
    </row>
    <row r="2785" spans="1:11">
      <c r="A2785" s="90" t="s">
        <v>10959</v>
      </c>
      <c r="B2785" s="90" t="s">
        <v>10960</v>
      </c>
      <c r="C2785" s="90" t="s">
        <v>13</v>
      </c>
      <c r="D2785" s="90" t="str">
        <f>VLOOKUP(Tabela1[[#This Row],[Origem]],'Perguntas 1 a 24'!$J$28:$K$34,2,FALSE)</f>
        <v>Sudeste</v>
      </c>
      <c r="E2785" s="90" t="s">
        <v>14123</v>
      </c>
      <c r="F2785" s="91">
        <v>47171</v>
      </c>
      <c r="G2785" s="92">
        <v>85663</v>
      </c>
      <c r="H2785" s="90" t="s">
        <v>11</v>
      </c>
      <c r="I27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5" s="90" t="s">
        <v>4005</v>
      </c>
    </row>
    <row r="2786" spans="1:11">
      <c r="A2786" s="90" t="s">
        <v>4004</v>
      </c>
      <c r="B2786" s="90" t="s">
        <v>4005</v>
      </c>
      <c r="C2786" s="90" t="s">
        <v>10</v>
      </c>
      <c r="D2786" s="90" t="str">
        <f>VLOOKUP(Tabela1[[#This Row],[Origem]],'Perguntas 1 a 24'!$J$28:$K$34,2,FALSE)</f>
        <v>Centro-Oeste</v>
      </c>
      <c r="E2786" s="90" t="s">
        <v>14124</v>
      </c>
      <c r="F2786" s="91">
        <v>47172</v>
      </c>
      <c r="G2786" s="92">
        <v>27702</v>
      </c>
      <c r="H2786" s="90" t="s">
        <v>7</v>
      </c>
      <c r="I27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6" s="90" t="s">
        <v>4358</v>
      </c>
    </row>
    <row r="2787" spans="1:11">
      <c r="A2787" s="90" t="s">
        <v>4357</v>
      </c>
      <c r="B2787" s="90" t="s">
        <v>4358</v>
      </c>
      <c r="C2787" s="90" t="s">
        <v>15</v>
      </c>
      <c r="D2787" s="90" t="str">
        <f>VLOOKUP(Tabela1[[#This Row],[Origem]],'Perguntas 1 a 24'!$J$28:$K$34,2,FALSE)</f>
        <v>Sudeste</v>
      </c>
      <c r="E2787" s="90" t="s">
        <v>14125</v>
      </c>
      <c r="F2787" s="91">
        <v>47172</v>
      </c>
      <c r="G2787" s="92">
        <v>21522</v>
      </c>
      <c r="H2787" s="90" t="s">
        <v>9</v>
      </c>
      <c r="I27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7" s="90" t="s">
        <v>9800</v>
      </c>
    </row>
    <row r="2788" spans="1:11">
      <c r="A2788" s="90" t="s">
        <v>9799</v>
      </c>
      <c r="B2788" s="90" t="s">
        <v>9800</v>
      </c>
      <c r="C2788" s="90" t="s">
        <v>16</v>
      </c>
      <c r="D2788" s="90" t="str">
        <f>VLOOKUP(Tabela1[[#This Row],[Origem]],'Perguntas 1 a 24'!$J$28:$K$34,2,FALSE)</f>
        <v>Sudeste</v>
      </c>
      <c r="E2788" s="90" t="s">
        <v>14126</v>
      </c>
      <c r="F2788" s="91">
        <v>47173</v>
      </c>
      <c r="G2788" s="92">
        <v>72117</v>
      </c>
      <c r="H2788" s="90" t="s">
        <v>9</v>
      </c>
      <c r="I27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8" s="90" t="s">
        <v>3979</v>
      </c>
    </row>
    <row r="2789" spans="1:11">
      <c r="A2789" s="90" t="s">
        <v>3978</v>
      </c>
      <c r="B2789" s="90" t="s">
        <v>3979</v>
      </c>
      <c r="C2789" s="90" t="s">
        <v>12</v>
      </c>
      <c r="D2789" s="90" t="str">
        <f>VLOOKUP(Tabela1[[#This Row],[Origem]],'Perguntas 1 a 24'!$J$28:$K$34,2,FALSE)</f>
        <v>Sudeste</v>
      </c>
      <c r="E2789" s="90" t="s">
        <v>14127</v>
      </c>
      <c r="F2789" s="91">
        <v>47174</v>
      </c>
      <c r="G2789" s="92">
        <v>38722</v>
      </c>
      <c r="H2789" s="90" t="s">
        <v>7</v>
      </c>
      <c r="I27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89" s="90" t="s">
        <v>8590</v>
      </c>
    </row>
    <row r="2790" spans="1:11">
      <c r="A2790" s="90" t="s">
        <v>8589</v>
      </c>
      <c r="B2790" s="90" t="s">
        <v>8590</v>
      </c>
      <c r="C2790" s="90" t="s">
        <v>12</v>
      </c>
      <c r="D2790" s="90" t="str">
        <f>VLOOKUP(Tabela1[[#This Row],[Origem]],'Perguntas 1 a 24'!$J$28:$K$34,2,FALSE)</f>
        <v>Sudeste</v>
      </c>
      <c r="E2790" s="90" t="s">
        <v>14128</v>
      </c>
      <c r="F2790" s="91">
        <v>47174</v>
      </c>
      <c r="G2790" s="92">
        <v>63000</v>
      </c>
      <c r="H2790" s="90" t="s">
        <v>9</v>
      </c>
      <c r="I27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0" s="90" t="s">
        <v>9506</v>
      </c>
    </row>
    <row r="2791" spans="1:11">
      <c r="A2791" s="90" t="s">
        <v>9505</v>
      </c>
      <c r="B2791" s="90" t="s">
        <v>9506</v>
      </c>
      <c r="C2791" s="90" t="s">
        <v>12</v>
      </c>
      <c r="D2791" s="90" t="str">
        <f>VLOOKUP(Tabela1[[#This Row],[Origem]],'Perguntas 1 a 24'!$J$28:$K$34,2,FALSE)</f>
        <v>Sudeste</v>
      </c>
      <c r="E2791" s="90" t="s">
        <v>14129</v>
      </c>
      <c r="F2791" s="91">
        <v>47174</v>
      </c>
      <c r="G2791" s="92">
        <v>110665</v>
      </c>
      <c r="H2791" s="90" t="s">
        <v>14</v>
      </c>
      <c r="I27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1" s="90" t="s">
        <v>4384</v>
      </c>
    </row>
    <row r="2792" spans="1:11">
      <c r="A2792" s="90" t="s">
        <v>4383</v>
      </c>
      <c r="B2792" s="90" t="s">
        <v>4384</v>
      </c>
      <c r="C2792" s="90" t="s">
        <v>15</v>
      </c>
      <c r="D2792" s="90" t="str">
        <f>VLOOKUP(Tabela1[[#This Row],[Origem]],'Perguntas 1 a 24'!$J$28:$K$34,2,FALSE)</f>
        <v>Sudeste</v>
      </c>
      <c r="E2792" s="90" t="s">
        <v>14130</v>
      </c>
      <c r="F2792" s="91">
        <v>47175</v>
      </c>
      <c r="G2792" s="92">
        <v>24879</v>
      </c>
      <c r="H2792" s="90" t="s">
        <v>14</v>
      </c>
      <c r="I27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2" s="90" t="s">
        <v>6299</v>
      </c>
    </row>
    <row r="2793" spans="1:11">
      <c r="A2793" s="90" t="s">
        <v>6298</v>
      </c>
      <c r="B2793" s="90" t="s">
        <v>6299</v>
      </c>
      <c r="C2793" s="90" t="s">
        <v>12</v>
      </c>
      <c r="D2793" s="90" t="str">
        <f>VLOOKUP(Tabela1[[#This Row],[Origem]],'Perguntas 1 a 24'!$J$28:$K$34,2,FALSE)</f>
        <v>Sudeste</v>
      </c>
      <c r="E2793" s="90" t="s">
        <v>14131</v>
      </c>
      <c r="F2793" s="91">
        <v>47175</v>
      </c>
      <c r="G2793" s="92">
        <v>86371</v>
      </c>
      <c r="H2793" s="90" t="s">
        <v>7</v>
      </c>
      <c r="I27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3" s="90" t="s">
        <v>3692</v>
      </c>
    </row>
    <row r="2794" spans="1:11">
      <c r="A2794" s="90" t="s">
        <v>3691</v>
      </c>
      <c r="B2794" s="90" t="s">
        <v>3692</v>
      </c>
      <c r="C2794" s="90" t="s">
        <v>12</v>
      </c>
      <c r="D2794" s="90" t="str">
        <f>VLOOKUP(Tabela1[[#This Row],[Origem]],'Perguntas 1 a 24'!$J$28:$K$34,2,FALSE)</f>
        <v>Sudeste</v>
      </c>
      <c r="E2794" s="90" t="s">
        <v>14132</v>
      </c>
      <c r="F2794" s="91">
        <v>47177</v>
      </c>
      <c r="G2794" s="92">
        <v>46946</v>
      </c>
      <c r="H2794" s="90" t="s">
        <v>9</v>
      </c>
      <c r="I27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4" s="90" t="s">
        <v>10362</v>
      </c>
    </row>
    <row r="2795" spans="1:11">
      <c r="A2795" s="90" t="s">
        <v>10361</v>
      </c>
      <c r="B2795" s="90" t="s">
        <v>10362</v>
      </c>
      <c r="C2795" s="90" t="s">
        <v>16</v>
      </c>
      <c r="D2795" s="90" t="str">
        <f>VLOOKUP(Tabela1[[#This Row],[Origem]],'Perguntas 1 a 24'!$J$28:$K$34,2,FALSE)</f>
        <v>Sudeste</v>
      </c>
      <c r="E2795" s="90" t="s">
        <v>14133</v>
      </c>
      <c r="F2795" s="91">
        <v>47177</v>
      </c>
      <c r="G2795" s="92">
        <v>104365</v>
      </c>
      <c r="H2795" s="90" t="s">
        <v>14</v>
      </c>
      <c r="I27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5" s="90" t="s">
        <v>10654</v>
      </c>
    </row>
    <row r="2796" spans="1:11">
      <c r="A2796" s="90" t="s">
        <v>10653</v>
      </c>
      <c r="B2796" s="90" t="s">
        <v>10654</v>
      </c>
      <c r="C2796" s="90" t="s">
        <v>16</v>
      </c>
      <c r="D2796" s="90" t="str">
        <f>VLOOKUP(Tabela1[[#This Row],[Origem]],'Perguntas 1 a 24'!$J$28:$K$34,2,FALSE)</f>
        <v>Sudeste</v>
      </c>
      <c r="E2796" s="90" t="s">
        <v>14134</v>
      </c>
      <c r="F2796" s="91">
        <v>47177</v>
      </c>
      <c r="G2796" s="92">
        <v>112728</v>
      </c>
      <c r="H2796" s="90" t="s">
        <v>7</v>
      </c>
      <c r="I27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6" s="90" t="s">
        <v>8698</v>
      </c>
    </row>
    <row r="2797" spans="1:11">
      <c r="A2797" s="90" t="s">
        <v>8697</v>
      </c>
      <c r="B2797" s="90" t="s">
        <v>8698</v>
      </c>
      <c r="C2797" s="90" t="s">
        <v>13</v>
      </c>
      <c r="D2797" s="90" t="str">
        <f>VLOOKUP(Tabela1[[#This Row],[Origem]],'Perguntas 1 a 24'!$J$28:$K$34,2,FALSE)</f>
        <v>Sudeste</v>
      </c>
      <c r="E2797" s="90" t="s">
        <v>14135</v>
      </c>
      <c r="F2797" s="91">
        <v>47178</v>
      </c>
      <c r="G2797" s="92">
        <v>84979</v>
      </c>
      <c r="H2797" s="90" t="s">
        <v>9</v>
      </c>
      <c r="I27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7" s="90" t="s">
        <v>10526</v>
      </c>
    </row>
    <row r="2798" spans="1:11">
      <c r="A2798" s="90" t="s">
        <v>10525</v>
      </c>
      <c r="B2798" s="90" t="s">
        <v>10526</v>
      </c>
      <c r="C2798" s="90" t="s">
        <v>6</v>
      </c>
      <c r="D2798" s="90" t="str">
        <f>VLOOKUP(Tabela1[[#This Row],[Origem]],'Perguntas 1 a 24'!$J$28:$K$34,2,FALSE)</f>
        <v>Nordeste</v>
      </c>
      <c r="E2798" s="90" t="s">
        <v>14136</v>
      </c>
      <c r="F2798" s="91">
        <v>47179</v>
      </c>
      <c r="G2798" s="92">
        <v>80165</v>
      </c>
      <c r="H2798" s="90" t="s">
        <v>9</v>
      </c>
      <c r="I27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8" s="90" t="s">
        <v>4765</v>
      </c>
    </row>
    <row r="2799" spans="1:11">
      <c r="A2799" s="90" t="s">
        <v>4764</v>
      </c>
      <c r="B2799" s="90" t="s">
        <v>4765</v>
      </c>
      <c r="C2799" s="90" t="s">
        <v>6</v>
      </c>
      <c r="D2799" s="90" t="str">
        <f>VLOOKUP(Tabela1[[#This Row],[Origem]],'Perguntas 1 a 24'!$J$28:$K$34,2,FALSE)</f>
        <v>Nordeste</v>
      </c>
      <c r="E2799" s="90" t="s">
        <v>14137</v>
      </c>
      <c r="F2799" s="91">
        <v>47180</v>
      </c>
      <c r="G2799" s="92">
        <v>59223</v>
      </c>
      <c r="H2799" s="90" t="s">
        <v>7</v>
      </c>
      <c r="I27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799" s="90" t="s">
        <v>5927</v>
      </c>
    </row>
    <row r="2800" spans="1:11">
      <c r="A2800" s="90" t="s">
        <v>5926</v>
      </c>
      <c r="B2800" s="90" t="s">
        <v>5927</v>
      </c>
      <c r="C2800" s="90" t="s">
        <v>10</v>
      </c>
      <c r="D2800" s="90" t="str">
        <f>VLOOKUP(Tabela1[[#This Row],[Origem]],'Perguntas 1 a 24'!$J$28:$K$34,2,FALSE)</f>
        <v>Centro-Oeste</v>
      </c>
      <c r="E2800" s="90" t="s">
        <v>14138</v>
      </c>
      <c r="F2800" s="91">
        <v>47180</v>
      </c>
      <c r="G2800" s="92">
        <v>92691</v>
      </c>
      <c r="H2800" s="90" t="s">
        <v>11</v>
      </c>
      <c r="I28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0" s="90" t="s">
        <v>8053</v>
      </c>
    </row>
    <row r="2801" spans="1:11">
      <c r="A2801" s="90" t="s">
        <v>8052</v>
      </c>
      <c r="B2801" s="90" t="s">
        <v>8053</v>
      </c>
      <c r="C2801" s="90" t="s">
        <v>10</v>
      </c>
      <c r="D2801" s="90" t="str">
        <f>VLOOKUP(Tabela1[[#This Row],[Origem]],'Perguntas 1 a 24'!$J$28:$K$34,2,FALSE)</f>
        <v>Centro-Oeste</v>
      </c>
      <c r="E2801" s="90" t="s">
        <v>14139</v>
      </c>
      <c r="F2801" s="91">
        <v>47181</v>
      </c>
      <c r="G2801" s="92">
        <v>59448</v>
      </c>
      <c r="H2801" s="90" t="s">
        <v>11</v>
      </c>
      <c r="I28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1" s="90" t="s">
        <v>10334</v>
      </c>
    </row>
    <row r="2802" spans="1:11">
      <c r="A2802" s="90" t="s">
        <v>10333</v>
      </c>
      <c r="B2802" s="90" t="s">
        <v>10334</v>
      </c>
      <c r="C2802" s="90" t="s">
        <v>12</v>
      </c>
      <c r="D2802" s="90" t="str">
        <f>VLOOKUP(Tabela1[[#This Row],[Origem]],'Perguntas 1 a 24'!$J$28:$K$34,2,FALSE)</f>
        <v>Sudeste</v>
      </c>
      <c r="E2802" s="90" t="s">
        <v>14140</v>
      </c>
      <c r="F2802" s="91">
        <v>47181</v>
      </c>
      <c r="G2802" s="92">
        <v>104532</v>
      </c>
      <c r="H2802" s="90" t="s">
        <v>7</v>
      </c>
      <c r="I28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2" s="90" t="s">
        <v>7011</v>
      </c>
    </row>
    <row r="2803" spans="1:11">
      <c r="A2803" s="90" t="s">
        <v>7010</v>
      </c>
      <c r="B2803" s="90" t="s">
        <v>7011</v>
      </c>
      <c r="C2803" s="90" t="s">
        <v>8</v>
      </c>
      <c r="D2803" s="90" t="str">
        <f>VLOOKUP(Tabela1[[#This Row],[Origem]],'Perguntas 1 a 24'!$J$28:$K$34,2,FALSE)</f>
        <v>Nordeste</v>
      </c>
      <c r="E2803" s="90" t="s">
        <v>14141</v>
      </c>
      <c r="F2803" s="91">
        <v>47182</v>
      </c>
      <c r="G2803" s="92">
        <v>59506</v>
      </c>
      <c r="H2803" s="90" t="s">
        <v>11</v>
      </c>
      <c r="I28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3" s="90" t="s">
        <v>7021</v>
      </c>
    </row>
    <row r="2804" spans="1:11">
      <c r="A2804" s="90" t="s">
        <v>7020</v>
      </c>
      <c r="B2804" s="90" t="s">
        <v>7021</v>
      </c>
      <c r="C2804" s="90" t="s">
        <v>12</v>
      </c>
      <c r="D2804" s="90" t="str">
        <f>VLOOKUP(Tabela1[[#This Row],[Origem]],'Perguntas 1 a 24'!$J$28:$K$34,2,FALSE)</f>
        <v>Sudeste</v>
      </c>
      <c r="E2804" s="90" t="s">
        <v>14142</v>
      </c>
      <c r="F2804" s="91">
        <v>47182</v>
      </c>
      <c r="G2804" s="92">
        <v>64978</v>
      </c>
      <c r="H2804" s="90" t="s">
        <v>11</v>
      </c>
      <c r="I28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4" s="90" t="s">
        <v>4737</v>
      </c>
    </row>
    <row r="2805" spans="1:11">
      <c r="A2805" s="90" t="s">
        <v>4736</v>
      </c>
      <c r="B2805" s="90" t="s">
        <v>4737</v>
      </c>
      <c r="C2805" s="90" t="s">
        <v>16</v>
      </c>
      <c r="D2805" s="90" t="str">
        <f>VLOOKUP(Tabela1[[#This Row],[Origem]],'Perguntas 1 a 24'!$J$28:$K$34,2,FALSE)</f>
        <v>Sudeste</v>
      </c>
      <c r="E2805" s="90" t="s">
        <v>14143</v>
      </c>
      <c r="F2805" s="91">
        <v>47183</v>
      </c>
      <c r="G2805" s="92">
        <v>42402</v>
      </c>
      <c r="H2805" s="90" t="s">
        <v>11</v>
      </c>
      <c r="I28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5" s="90" t="s">
        <v>7999</v>
      </c>
    </row>
    <row r="2806" spans="1:11">
      <c r="A2806" s="90" t="s">
        <v>7998</v>
      </c>
      <c r="B2806" s="90" t="s">
        <v>7999</v>
      </c>
      <c r="C2806" s="90" t="s">
        <v>13</v>
      </c>
      <c r="D2806" s="90" t="str">
        <f>VLOOKUP(Tabela1[[#This Row],[Origem]],'Perguntas 1 a 24'!$J$28:$K$34,2,FALSE)</f>
        <v>Sudeste</v>
      </c>
      <c r="E2806" s="90" t="s">
        <v>14144</v>
      </c>
      <c r="F2806" s="91">
        <v>47184</v>
      </c>
      <c r="G2806" s="92">
        <v>82159</v>
      </c>
      <c r="H2806" s="90" t="s">
        <v>7</v>
      </c>
      <c r="I28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6" s="90" t="s">
        <v>9214</v>
      </c>
    </row>
    <row r="2807" spans="1:11">
      <c r="A2807" s="90" t="s">
        <v>9213</v>
      </c>
      <c r="B2807" s="90" t="s">
        <v>9214</v>
      </c>
      <c r="C2807" s="90" t="s">
        <v>8</v>
      </c>
      <c r="D2807" s="90" t="str">
        <f>VLOOKUP(Tabela1[[#This Row],[Origem]],'Perguntas 1 a 24'!$J$28:$K$34,2,FALSE)</f>
        <v>Nordeste</v>
      </c>
      <c r="E2807" s="90" t="s">
        <v>14145</v>
      </c>
      <c r="F2807" s="91">
        <v>47184</v>
      </c>
      <c r="G2807" s="92">
        <v>28853</v>
      </c>
      <c r="H2807" s="90" t="s">
        <v>9</v>
      </c>
      <c r="I28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7" s="90" t="s">
        <v>5875</v>
      </c>
    </row>
    <row r="2808" spans="1:11">
      <c r="A2808" s="90" t="s">
        <v>5874</v>
      </c>
      <c r="B2808" s="90" t="s">
        <v>5875</v>
      </c>
      <c r="C2808" s="90" t="s">
        <v>13</v>
      </c>
      <c r="D2808" s="90" t="str">
        <f>VLOOKUP(Tabela1[[#This Row],[Origem]],'Perguntas 1 a 24'!$J$28:$K$34,2,FALSE)</f>
        <v>Sudeste</v>
      </c>
      <c r="E2808" s="90" t="s">
        <v>14146</v>
      </c>
      <c r="F2808" s="91">
        <v>47186</v>
      </c>
      <c r="G2808" s="92">
        <v>71558</v>
      </c>
      <c r="H2808" s="90" t="s">
        <v>14</v>
      </c>
      <c r="I28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8" s="90" t="s">
        <v>8175</v>
      </c>
    </row>
    <row r="2809" spans="1:11">
      <c r="A2809" s="90" t="s">
        <v>8174</v>
      </c>
      <c r="B2809" s="90" t="s">
        <v>8175</v>
      </c>
      <c r="C2809" s="90" t="s">
        <v>13</v>
      </c>
      <c r="D2809" s="90" t="str">
        <f>VLOOKUP(Tabela1[[#This Row],[Origem]],'Perguntas 1 a 24'!$J$28:$K$34,2,FALSE)</f>
        <v>Sudeste</v>
      </c>
      <c r="E2809" s="90" t="s">
        <v>14147</v>
      </c>
      <c r="F2809" s="91">
        <v>47186</v>
      </c>
      <c r="G2809" s="92">
        <v>107338</v>
      </c>
      <c r="H2809" s="90" t="s">
        <v>9</v>
      </c>
      <c r="I28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09" s="90" t="s">
        <v>10450</v>
      </c>
    </row>
    <row r="2810" spans="1:11">
      <c r="A2810" s="90" t="s">
        <v>10449</v>
      </c>
      <c r="B2810" s="90" t="s">
        <v>10450</v>
      </c>
      <c r="C2810" s="90" t="s">
        <v>13</v>
      </c>
      <c r="D2810" s="90" t="str">
        <f>VLOOKUP(Tabela1[[#This Row],[Origem]],'Perguntas 1 a 24'!$J$28:$K$34,2,FALSE)</f>
        <v>Sudeste</v>
      </c>
      <c r="E2810" s="90" t="s">
        <v>14148</v>
      </c>
      <c r="F2810" s="91">
        <v>47186</v>
      </c>
      <c r="G2810" s="92">
        <v>52337</v>
      </c>
      <c r="H2810" s="90" t="s">
        <v>11</v>
      </c>
      <c r="I28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0" s="90" t="s">
        <v>6443</v>
      </c>
    </row>
    <row r="2811" spans="1:11">
      <c r="A2811" s="90" t="s">
        <v>6442</v>
      </c>
      <c r="B2811" s="90" t="s">
        <v>6443</v>
      </c>
      <c r="C2811" s="90" t="s">
        <v>13</v>
      </c>
      <c r="D2811" s="90" t="str">
        <f>VLOOKUP(Tabela1[[#This Row],[Origem]],'Perguntas 1 a 24'!$J$28:$K$34,2,FALSE)</f>
        <v>Sudeste</v>
      </c>
      <c r="E2811" s="90" t="s">
        <v>14149</v>
      </c>
      <c r="F2811" s="91">
        <v>47188</v>
      </c>
      <c r="G2811" s="92">
        <v>61096</v>
      </c>
      <c r="H2811" s="90" t="s">
        <v>14</v>
      </c>
      <c r="I28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1" s="90" t="s">
        <v>6797</v>
      </c>
    </row>
    <row r="2812" spans="1:11">
      <c r="A2812" s="90" t="s">
        <v>6796</v>
      </c>
      <c r="B2812" s="90" t="s">
        <v>6797</v>
      </c>
      <c r="C2812" s="90" t="s">
        <v>8</v>
      </c>
      <c r="D2812" s="90" t="str">
        <f>VLOOKUP(Tabela1[[#This Row],[Origem]],'Perguntas 1 a 24'!$J$28:$K$34,2,FALSE)</f>
        <v>Nordeste</v>
      </c>
      <c r="E2812" s="90" t="s">
        <v>14150</v>
      </c>
      <c r="F2812" s="91">
        <v>47188</v>
      </c>
      <c r="G2812" s="92">
        <v>23360</v>
      </c>
      <c r="H2812" s="90" t="s">
        <v>7</v>
      </c>
      <c r="I28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2" s="90" t="s">
        <v>7859</v>
      </c>
    </row>
    <row r="2813" spans="1:11">
      <c r="A2813" s="90" t="s">
        <v>7858</v>
      </c>
      <c r="B2813" s="90" t="s">
        <v>7859</v>
      </c>
      <c r="C2813" s="90" t="s">
        <v>12</v>
      </c>
      <c r="D2813" s="90" t="str">
        <f>VLOOKUP(Tabela1[[#This Row],[Origem]],'Perguntas 1 a 24'!$J$28:$K$34,2,FALSE)</f>
        <v>Sudeste</v>
      </c>
      <c r="E2813" s="90" t="s">
        <v>14151</v>
      </c>
      <c r="F2813" s="91">
        <v>47189</v>
      </c>
      <c r="G2813" s="92">
        <v>40120</v>
      </c>
      <c r="H2813" s="90" t="s">
        <v>9</v>
      </c>
      <c r="I28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3" s="90" t="s">
        <v>3931</v>
      </c>
    </row>
    <row r="2814" spans="1:11">
      <c r="A2814" s="90" t="s">
        <v>3930</v>
      </c>
      <c r="B2814" s="90" t="s">
        <v>3931</v>
      </c>
      <c r="C2814" s="90" t="s">
        <v>8</v>
      </c>
      <c r="D2814" s="90" t="str">
        <f>VLOOKUP(Tabela1[[#This Row],[Origem]],'Perguntas 1 a 24'!$J$28:$K$34,2,FALSE)</f>
        <v>Nordeste</v>
      </c>
      <c r="E2814" s="90" t="s">
        <v>14152</v>
      </c>
      <c r="F2814" s="91">
        <v>47190</v>
      </c>
      <c r="G2814" s="92">
        <v>81198</v>
      </c>
      <c r="H2814" s="90" t="s">
        <v>7</v>
      </c>
      <c r="I28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4" s="90" t="s">
        <v>8898</v>
      </c>
    </row>
    <row r="2815" spans="1:11">
      <c r="A2815" s="90" t="s">
        <v>8897</v>
      </c>
      <c r="B2815" s="90" t="s">
        <v>8898</v>
      </c>
      <c r="C2815" s="90" t="s">
        <v>12</v>
      </c>
      <c r="D2815" s="90" t="str">
        <f>VLOOKUP(Tabela1[[#This Row],[Origem]],'Perguntas 1 a 24'!$J$28:$K$34,2,FALSE)</f>
        <v>Sudeste</v>
      </c>
      <c r="E2815" s="90" t="s">
        <v>14153</v>
      </c>
      <c r="F2815" s="91">
        <v>47190</v>
      </c>
      <c r="G2815" s="92">
        <v>93824</v>
      </c>
      <c r="H2815" s="90" t="s">
        <v>9</v>
      </c>
      <c r="I28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5" s="90" t="s">
        <v>6627</v>
      </c>
    </row>
    <row r="2816" spans="1:11">
      <c r="A2816" s="90" t="s">
        <v>6626</v>
      </c>
      <c r="B2816" s="90" t="s">
        <v>6627</v>
      </c>
      <c r="C2816" s="90" t="s">
        <v>15</v>
      </c>
      <c r="D2816" s="90" t="str">
        <f>VLOOKUP(Tabela1[[#This Row],[Origem]],'Perguntas 1 a 24'!$J$28:$K$34,2,FALSE)</f>
        <v>Sudeste</v>
      </c>
      <c r="E2816" s="90" t="s">
        <v>14154</v>
      </c>
      <c r="F2816" s="91">
        <v>47191</v>
      </c>
      <c r="G2816" s="92">
        <v>87564</v>
      </c>
      <c r="H2816" s="90" t="s">
        <v>11</v>
      </c>
      <c r="I28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6" s="90" t="s">
        <v>9160</v>
      </c>
    </row>
    <row r="2817" spans="1:11">
      <c r="A2817" s="90" t="s">
        <v>9159</v>
      </c>
      <c r="B2817" s="90" t="s">
        <v>9160</v>
      </c>
      <c r="C2817" s="90" t="s">
        <v>12</v>
      </c>
      <c r="D2817" s="90" t="str">
        <f>VLOOKUP(Tabela1[[#This Row],[Origem]],'Perguntas 1 a 24'!$J$28:$K$34,2,FALSE)</f>
        <v>Sudeste</v>
      </c>
      <c r="E2817" s="90" t="s">
        <v>14155</v>
      </c>
      <c r="F2817" s="91">
        <v>47192</v>
      </c>
      <c r="G2817" s="92">
        <v>63432</v>
      </c>
      <c r="H2817" s="90" t="s">
        <v>9</v>
      </c>
      <c r="I28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7" s="90" t="s">
        <v>9174</v>
      </c>
    </row>
    <row r="2818" spans="1:11">
      <c r="A2818" s="90" t="s">
        <v>9173</v>
      </c>
      <c r="B2818" s="90" t="s">
        <v>9174</v>
      </c>
      <c r="C2818" s="90" t="s">
        <v>6</v>
      </c>
      <c r="D2818" s="90" t="str">
        <f>VLOOKUP(Tabela1[[#This Row],[Origem]],'Perguntas 1 a 24'!$J$28:$K$34,2,FALSE)</f>
        <v>Nordeste</v>
      </c>
      <c r="E2818" s="90" t="s">
        <v>14156</v>
      </c>
      <c r="F2818" s="91">
        <v>47192</v>
      </c>
      <c r="G2818" s="92">
        <v>113377</v>
      </c>
      <c r="H2818" s="90" t="s">
        <v>11</v>
      </c>
      <c r="I28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8" s="90" t="s">
        <v>6343</v>
      </c>
    </row>
    <row r="2819" spans="1:11">
      <c r="A2819" s="90" t="s">
        <v>6342</v>
      </c>
      <c r="B2819" s="90" t="s">
        <v>6343</v>
      </c>
      <c r="C2819" s="90" t="s">
        <v>12</v>
      </c>
      <c r="D2819" s="90" t="str">
        <f>VLOOKUP(Tabela1[[#This Row],[Origem]],'Perguntas 1 a 24'!$J$28:$K$34,2,FALSE)</f>
        <v>Sudeste</v>
      </c>
      <c r="E2819" s="90" t="s">
        <v>14157</v>
      </c>
      <c r="F2819" s="91">
        <v>47193</v>
      </c>
      <c r="G2819" s="92">
        <v>114581</v>
      </c>
      <c r="H2819" s="90" t="s">
        <v>11</v>
      </c>
      <c r="I28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19" s="90" t="s">
        <v>10702</v>
      </c>
    </row>
    <row r="2820" spans="1:11">
      <c r="A2820" s="90" t="s">
        <v>10701</v>
      </c>
      <c r="B2820" s="90" t="s">
        <v>10702</v>
      </c>
      <c r="C2820" s="90" t="s">
        <v>6</v>
      </c>
      <c r="D2820" s="90" t="str">
        <f>VLOOKUP(Tabela1[[#This Row],[Origem]],'Perguntas 1 a 24'!$J$28:$K$34,2,FALSE)</f>
        <v>Nordeste</v>
      </c>
      <c r="E2820" s="90" t="s">
        <v>14158</v>
      </c>
      <c r="F2820" s="91">
        <v>47193</v>
      </c>
      <c r="G2820" s="92">
        <v>55583</v>
      </c>
      <c r="H2820" s="90" t="s">
        <v>14</v>
      </c>
      <c r="I28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0" s="90" t="s">
        <v>5695</v>
      </c>
    </row>
    <row r="2821" spans="1:11">
      <c r="A2821" s="90" t="s">
        <v>5694</v>
      </c>
      <c r="B2821" s="90" t="s">
        <v>5695</v>
      </c>
      <c r="C2821" s="90" t="s">
        <v>16</v>
      </c>
      <c r="D2821" s="90" t="str">
        <f>VLOOKUP(Tabela1[[#This Row],[Origem]],'Perguntas 1 a 24'!$J$28:$K$34,2,FALSE)</f>
        <v>Sudeste</v>
      </c>
      <c r="E2821" s="90" t="s">
        <v>14159</v>
      </c>
      <c r="F2821" s="91">
        <v>47194</v>
      </c>
      <c r="G2821" s="92">
        <v>67379</v>
      </c>
      <c r="H2821" s="90" t="s">
        <v>7</v>
      </c>
      <c r="I28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1" s="90" t="s">
        <v>10396</v>
      </c>
    </row>
    <row r="2822" spans="1:11">
      <c r="A2822" s="90" t="s">
        <v>10395</v>
      </c>
      <c r="B2822" s="90" t="s">
        <v>10396</v>
      </c>
      <c r="C2822" s="90" t="s">
        <v>12</v>
      </c>
      <c r="D2822" s="90" t="str">
        <f>VLOOKUP(Tabela1[[#This Row],[Origem]],'Perguntas 1 a 24'!$J$28:$K$34,2,FALSE)</f>
        <v>Sudeste</v>
      </c>
      <c r="E2822" s="90" t="s">
        <v>14160</v>
      </c>
      <c r="F2822" s="91">
        <v>47194</v>
      </c>
      <c r="G2822" s="92">
        <v>30532</v>
      </c>
      <c r="H2822" s="90" t="s">
        <v>9</v>
      </c>
      <c r="I28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2" s="90" t="s">
        <v>5297</v>
      </c>
    </row>
    <row r="2823" spans="1:11">
      <c r="A2823" s="90" t="s">
        <v>5296</v>
      </c>
      <c r="B2823" s="90" t="s">
        <v>5297</v>
      </c>
      <c r="C2823" s="90" t="s">
        <v>13</v>
      </c>
      <c r="D2823" s="90" t="str">
        <f>VLOOKUP(Tabela1[[#This Row],[Origem]],'Perguntas 1 a 24'!$J$28:$K$34,2,FALSE)</f>
        <v>Sudeste</v>
      </c>
      <c r="E2823" s="90" t="s">
        <v>14161</v>
      </c>
      <c r="F2823" s="91">
        <v>47195</v>
      </c>
      <c r="G2823" s="92">
        <v>71881</v>
      </c>
      <c r="H2823" s="90" t="s">
        <v>14</v>
      </c>
      <c r="I28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3" s="90" t="s">
        <v>7049</v>
      </c>
    </row>
    <row r="2824" spans="1:11">
      <c r="A2824" s="90" t="s">
        <v>7048</v>
      </c>
      <c r="B2824" s="90" t="s">
        <v>7049</v>
      </c>
      <c r="C2824" s="90" t="s">
        <v>15</v>
      </c>
      <c r="D2824" s="90" t="str">
        <f>VLOOKUP(Tabela1[[#This Row],[Origem]],'Perguntas 1 a 24'!$J$28:$K$34,2,FALSE)</f>
        <v>Sudeste</v>
      </c>
      <c r="E2824" s="90" t="s">
        <v>14162</v>
      </c>
      <c r="F2824" s="91">
        <v>47195</v>
      </c>
      <c r="G2824" s="92">
        <v>107744</v>
      </c>
      <c r="H2824" s="90" t="s">
        <v>11</v>
      </c>
      <c r="I28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4" s="90" t="s">
        <v>4242</v>
      </c>
    </row>
    <row r="2825" spans="1:11">
      <c r="A2825" s="90" t="s">
        <v>4241</v>
      </c>
      <c r="B2825" s="90" t="s">
        <v>4242</v>
      </c>
      <c r="C2825" s="90" t="s">
        <v>15</v>
      </c>
      <c r="D2825" s="90" t="str">
        <f>VLOOKUP(Tabela1[[#This Row],[Origem]],'Perguntas 1 a 24'!$J$28:$K$34,2,FALSE)</f>
        <v>Sudeste</v>
      </c>
      <c r="E2825" s="90" t="s">
        <v>14163</v>
      </c>
      <c r="F2825" s="91">
        <v>47196</v>
      </c>
      <c r="G2825" s="92">
        <v>110366</v>
      </c>
      <c r="H2825" s="90" t="s">
        <v>11</v>
      </c>
      <c r="I28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5" s="90" t="s">
        <v>4346</v>
      </c>
    </row>
    <row r="2826" spans="1:11">
      <c r="A2826" s="90" t="s">
        <v>4345</v>
      </c>
      <c r="B2826" s="90" t="s">
        <v>4346</v>
      </c>
      <c r="C2826" s="90" t="s">
        <v>8</v>
      </c>
      <c r="D2826" s="90" t="str">
        <f>VLOOKUP(Tabela1[[#This Row],[Origem]],'Perguntas 1 a 24'!$J$28:$K$34,2,FALSE)</f>
        <v>Nordeste</v>
      </c>
      <c r="E2826" s="90" t="s">
        <v>14164</v>
      </c>
      <c r="F2826" s="91">
        <v>47196</v>
      </c>
      <c r="G2826" s="92">
        <v>106182</v>
      </c>
      <c r="H2826" s="90" t="s">
        <v>7</v>
      </c>
      <c r="I28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6" s="90" t="s">
        <v>6939</v>
      </c>
    </row>
    <row r="2827" spans="1:11">
      <c r="A2827" s="90" t="s">
        <v>6938</v>
      </c>
      <c r="B2827" s="90" t="s">
        <v>6939</v>
      </c>
      <c r="C2827" s="90" t="s">
        <v>10</v>
      </c>
      <c r="D2827" s="90" t="str">
        <f>VLOOKUP(Tabela1[[#This Row],[Origem]],'Perguntas 1 a 24'!$J$28:$K$34,2,FALSE)</f>
        <v>Centro-Oeste</v>
      </c>
      <c r="E2827" s="90" t="s">
        <v>14165</v>
      </c>
      <c r="F2827" s="91">
        <v>47197</v>
      </c>
      <c r="G2827" s="92">
        <v>73847</v>
      </c>
      <c r="H2827" s="90" t="s">
        <v>9</v>
      </c>
      <c r="I28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7" s="90" t="s">
        <v>5305</v>
      </c>
    </row>
    <row r="2828" spans="1:11">
      <c r="A2828" s="90" t="s">
        <v>5304</v>
      </c>
      <c r="B2828" s="90" t="s">
        <v>5305</v>
      </c>
      <c r="C2828" s="90" t="s">
        <v>6</v>
      </c>
      <c r="D2828" s="90" t="str">
        <f>VLOOKUP(Tabela1[[#This Row],[Origem]],'Perguntas 1 a 24'!$J$28:$K$34,2,FALSE)</f>
        <v>Nordeste</v>
      </c>
      <c r="E2828" s="90" t="s">
        <v>14166</v>
      </c>
      <c r="F2828" s="91">
        <v>47198</v>
      </c>
      <c r="G2828" s="92">
        <v>27165</v>
      </c>
      <c r="H2828" s="90" t="s">
        <v>14</v>
      </c>
      <c r="I28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8" s="90" t="s">
        <v>7791</v>
      </c>
    </row>
    <row r="2829" spans="1:11">
      <c r="A2829" s="90" t="s">
        <v>7790</v>
      </c>
      <c r="B2829" s="90" t="s">
        <v>7791</v>
      </c>
      <c r="C2829" s="90" t="s">
        <v>13</v>
      </c>
      <c r="D2829" s="90" t="str">
        <f>VLOOKUP(Tabela1[[#This Row],[Origem]],'Perguntas 1 a 24'!$J$28:$K$34,2,FALSE)</f>
        <v>Sudeste</v>
      </c>
      <c r="E2829" s="90" t="s">
        <v>14167</v>
      </c>
      <c r="F2829" s="91">
        <v>47198</v>
      </c>
      <c r="G2829" s="92">
        <v>49829</v>
      </c>
      <c r="H2829" s="90" t="s">
        <v>9</v>
      </c>
      <c r="I28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29" s="90" t="s">
        <v>10408</v>
      </c>
    </row>
    <row r="2830" spans="1:11">
      <c r="A2830" s="90" t="s">
        <v>10407</v>
      </c>
      <c r="B2830" s="90" t="s">
        <v>10408</v>
      </c>
      <c r="C2830" s="90" t="s">
        <v>15</v>
      </c>
      <c r="D2830" s="90" t="str">
        <f>VLOOKUP(Tabela1[[#This Row],[Origem]],'Perguntas 1 a 24'!$J$28:$K$34,2,FALSE)</f>
        <v>Sudeste</v>
      </c>
      <c r="E2830" s="90" t="s">
        <v>14168</v>
      </c>
      <c r="F2830" s="91">
        <v>47200</v>
      </c>
      <c r="G2830" s="92">
        <v>90926</v>
      </c>
      <c r="H2830" s="90" t="s">
        <v>11</v>
      </c>
      <c r="I28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0" s="90" t="s">
        <v>4045</v>
      </c>
    </row>
    <row r="2831" spans="1:11">
      <c r="A2831" s="90" t="s">
        <v>4044</v>
      </c>
      <c r="B2831" s="90" t="s">
        <v>4045</v>
      </c>
      <c r="C2831" s="90" t="s">
        <v>8</v>
      </c>
      <c r="D2831" s="90" t="str">
        <f>VLOOKUP(Tabela1[[#This Row],[Origem]],'Perguntas 1 a 24'!$J$28:$K$34,2,FALSE)</f>
        <v>Nordeste</v>
      </c>
      <c r="E2831" s="90" t="s">
        <v>14169</v>
      </c>
      <c r="F2831" s="91">
        <v>47201</v>
      </c>
      <c r="G2831" s="92">
        <v>30342</v>
      </c>
      <c r="H2831" s="90" t="s">
        <v>14</v>
      </c>
      <c r="I28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1" s="90" t="s">
        <v>7593</v>
      </c>
    </row>
    <row r="2832" spans="1:11">
      <c r="A2832" s="90" t="s">
        <v>7592</v>
      </c>
      <c r="B2832" s="90" t="s">
        <v>7593</v>
      </c>
      <c r="C2832" s="90" t="s">
        <v>13</v>
      </c>
      <c r="D2832" s="90" t="str">
        <f>VLOOKUP(Tabela1[[#This Row],[Origem]],'Perguntas 1 a 24'!$J$28:$K$34,2,FALSE)</f>
        <v>Sudeste</v>
      </c>
      <c r="E2832" s="90" t="s">
        <v>14170</v>
      </c>
      <c r="F2832" s="91">
        <v>47203</v>
      </c>
      <c r="G2832" s="92">
        <v>52750</v>
      </c>
      <c r="H2832" s="90" t="s">
        <v>7</v>
      </c>
      <c r="I28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2" s="90" t="s">
        <v>6725</v>
      </c>
    </row>
    <row r="2833" spans="1:11">
      <c r="A2833" s="90" t="s">
        <v>6724</v>
      </c>
      <c r="B2833" s="90" t="s">
        <v>6725</v>
      </c>
      <c r="C2833" s="90" t="s">
        <v>8</v>
      </c>
      <c r="D2833" s="90" t="str">
        <f>VLOOKUP(Tabela1[[#This Row],[Origem]],'Perguntas 1 a 24'!$J$28:$K$34,2,FALSE)</f>
        <v>Nordeste</v>
      </c>
      <c r="E2833" s="90" t="s">
        <v>14171</v>
      </c>
      <c r="F2833" s="91">
        <v>47204</v>
      </c>
      <c r="G2833" s="92">
        <v>66493</v>
      </c>
      <c r="H2833" s="90" t="s">
        <v>9</v>
      </c>
      <c r="I28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3" s="90" t="s">
        <v>9582</v>
      </c>
    </row>
    <row r="2834" spans="1:11">
      <c r="A2834" s="90" t="s">
        <v>9581</v>
      </c>
      <c r="B2834" s="90" t="s">
        <v>9582</v>
      </c>
      <c r="C2834" s="90" t="s">
        <v>16</v>
      </c>
      <c r="D2834" s="90" t="str">
        <f>VLOOKUP(Tabela1[[#This Row],[Origem]],'Perguntas 1 a 24'!$J$28:$K$34,2,FALSE)</f>
        <v>Sudeste</v>
      </c>
      <c r="E2834" s="90" t="s">
        <v>14172</v>
      </c>
      <c r="F2834" s="91">
        <v>47205</v>
      </c>
      <c r="G2834" s="92">
        <v>99582</v>
      </c>
      <c r="H2834" s="90" t="s">
        <v>14</v>
      </c>
      <c r="I28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4" s="90" t="s">
        <v>9370</v>
      </c>
    </row>
    <row r="2835" spans="1:11">
      <c r="A2835" s="90" t="s">
        <v>9369</v>
      </c>
      <c r="B2835" s="90" t="s">
        <v>9370</v>
      </c>
      <c r="C2835" s="90" t="s">
        <v>15</v>
      </c>
      <c r="D2835" s="90" t="str">
        <f>VLOOKUP(Tabela1[[#This Row],[Origem]],'Perguntas 1 a 24'!$J$28:$K$34,2,FALSE)</f>
        <v>Sudeste</v>
      </c>
      <c r="E2835" s="90" t="s">
        <v>14173</v>
      </c>
      <c r="F2835" s="91">
        <v>47206</v>
      </c>
      <c r="G2835" s="92">
        <v>76675</v>
      </c>
      <c r="H2835" s="90" t="s">
        <v>7</v>
      </c>
      <c r="I28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5" s="90" t="s">
        <v>6759</v>
      </c>
    </row>
    <row r="2836" spans="1:11">
      <c r="A2836" s="90" t="s">
        <v>6758</v>
      </c>
      <c r="B2836" s="90" t="s">
        <v>6759</v>
      </c>
      <c r="C2836" s="90" t="s">
        <v>12</v>
      </c>
      <c r="D2836" s="90" t="str">
        <f>VLOOKUP(Tabela1[[#This Row],[Origem]],'Perguntas 1 a 24'!$J$28:$K$34,2,FALSE)</f>
        <v>Sudeste</v>
      </c>
      <c r="E2836" s="90" t="s">
        <v>14174</v>
      </c>
      <c r="F2836" s="91">
        <v>47208</v>
      </c>
      <c r="G2836" s="92">
        <v>44941</v>
      </c>
      <c r="H2836" s="90" t="s">
        <v>9</v>
      </c>
      <c r="I28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6" s="90" t="s">
        <v>11318</v>
      </c>
    </row>
    <row r="2837" spans="1:11">
      <c r="A2837" s="90" t="s">
        <v>11317</v>
      </c>
      <c r="B2837" s="90" t="s">
        <v>11318</v>
      </c>
      <c r="C2837" s="90" t="s">
        <v>10</v>
      </c>
      <c r="D2837" s="90" t="str">
        <f>VLOOKUP(Tabela1[[#This Row],[Origem]],'Perguntas 1 a 24'!$J$28:$K$34,2,FALSE)</f>
        <v>Centro-Oeste</v>
      </c>
      <c r="E2837" s="90" t="s">
        <v>14175</v>
      </c>
      <c r="F2837" s="91">
        <v>47208</v>
      </c>
      <c r="G2837" s="92">
        <v>80575</v>
      </c>
      <c r="H2837" s="90" t="s">
        <v>9</v>
      </c>
      <c r="I28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7" s="90" t="s">
        <v>6757</v>
      </c>
    </row>
    <row r="2838" spans="1:11">
      <c r="A2838" s="90" t="s">
        <v>6756</v>
      </c>
      <c r="B2838" s="90" t="s">
        <v>6757</v>
      </c>
      <c r="C2838" s="90" t="s">
        <v>12</v>
      </c>
      <c r="D2838" s="90" t="str">
        <f>VLOOKUP(Tabela1[[#This Row],[Origem]],'Perguntas 1 a 24'!$J$28:$K$34,2,FALSE)</f>
        <v>Sudeste</v>
      </c>
      <c r="E2838" s="90" t="s">
        <v>14176</v>
      </c>
      <c r="F2838" s="91">
        <v>47209</v>
      </c>
      <c r="G2838" s="92">
        <v>100291</v>
      </c>
      <c r="H2838" s="90" t="s">
        <v>9</v>
      </c>
      <c r="I28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8" s="90" t="s">
        <v>5261</v>
      </c>
    </row>
    <row r="2839" spans="1:11">
      <c r="A2839" s="90" t="s">
        <v>5260</v>
      </c>
      <c r="B2839" s="90" t="s">
        <v>5261</v>
      </c>
      <c r="C2839" s="90" t="s">
        <v>10</v>
      </c>
      <c r="D2839" s="90" t="str">
        <f>VLOOKUP(Tabela1[[#This Row],[Origem]],'Perguntas 1 a 24'!$J$28:$K$34,2,FALSE)</f>
        <v>Centro-Oeste</v>
      </c>
      <c r="E2839" s="90" t="s">
        <v>14177</v>
      </c>
      <c r="F2839" s="91">
        <v>47210</v>
      </c>
      <c r="G2839" s="92">
        <v>40712</v>
      </c>
      <c r="H2839" s="90" t="s">
        <v>11</v>
      </c>
      <c r="I28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39" s="90" t="s">
        <v>9218</v>
      </c>
    </row>
    <row r="2840" spans="1:11">
      <c r="A2840" s="90" t="s">
        <v>9217</v>
      </c>
      <c r="B2840" s="90" t="s">
        <v>9218</v>
      </c>
      <c r="C2840" s="90" t="s">
        <v>15</v>
      </c>
      <c r="D2840" s="90" t="str">
        <f>VLOOKUP(Tabela1[[#This Row],[Origem]],'Perguntas 1 a 24'!$J$28:$K$34,2,FALSE)</f>
        <v>Sudeste</v>
      </c>
      <c r="E2840" s="90" t="s">
        <v>14178</v>
      </c>
      <c r="F2840" s="91">
        <v>47210</v>
      </c>
      <c r="G2840" s="92">
        <v>98640</v>
      </c>
      <c r="H2840" s="90" t="s">
        <v>9</v>
      </c>
      <c r="I28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0" s="90" t="s">
        <v>3963</v>
      </c>
    </row>
    <row r="2841" spans="1:11">
      <c r="A2841" s="90" t="s">
        <v>3962</v>
      </c>
      <c r="B2841" s="90" t="s">
        <v>3963</v>
      </c>
      <c r="C2841" s="90" t="s">
        <v>16</v>
      </c>
      <c r="D2841" s="90" t="str">
        <f>VLOOKUP(Tabela1[[#This Row],[Origem]],'Perguntas 1 a 24'!$J$28:$K$34,2,FALSE)</f>
        <v>Sudeste</v>
      </c>
      <c r="E2841" s="90" t="s">
        <v>14179</v>
      </c>
      <c r="F2841" s="91">
        <v>47211</v>
      </c>
      <c r="G2841" s="92">
        <v>108201</v>
      </c>
      <c r="H2841" s="90" t="s">
        <v>11</v>
      </c>
      <c r="I28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1" s="90" t="s">
        <v>6875</v>
      </c>
    </row>
    <row r="2842" spans="1:11">
      <c r="A2842" s="90" t="s">
        <v>6874</v>
      </c>
      <c r="B2842" s="90" t="s">
        <v>6875</v>
      </c>
      <c r="C2842" s="90" t="s">
        <v>8</v>
      </c>
      <c r="D2842" s="90" t="str">
        <f>VLOOKUP(Tabela1[[#This Row],[Origem]],'Perguntas 1 a 24'!$J$28:$K$34,2,FALSE)</f>
        <v>Nordeste</v>
      </c>
      <c r="E2842" s="90" t="s">
        <v>14180</v>
      </c>
      <c r="F2842" s="91">
        <v>47211</v>
      </c>
      <c r="G2842" s="92">
        <v>58380</v>
      </c>
      <c r="H2842" s="90" t="s">
        <v>9</v>
      </c>
      <c r="I28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2" s="90" t="s">
        <v>8183</v>
      </c>
    </row>
    <row r="2843" spans="1:11">
      <c r="A2843" s="90" t="s">
        <v>8182</v>
      </c>
      <c r="B2843" s="90" t="s">
        <v>8183</v>
      </c>
      <c r="C2843" s="90" t="s">
        <v>8</v>
      </c>
      <c r="D2843" s="90" t="str">
        <f>VLOOKUP(Tabela1[[#This Row],[Origem]],'Perguntas 1 a 24'!$J$28:$K$34,2,FALSE)</f>
        <v>Nordeste</v>
      </c>
      <c r="E2843" s="90" t="s">
        <v>14181</v>
      </c>
      <c r="F2843" s="91">
        <v>47211</v>
      </c>
      <c r="G2843" s="92">
        <v>24704</v>
      </c>
      <c r="H2843" s="90" t="s">
        <v>14</v>
      </c>
      <c r="I28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3" s="90" t="s">
        <v>7003</v>
      </c>
    </row>
    <row r="2844" spans="1:11">
      <c r="A2844" s="90" t="s">
        <v>7002</v>
      </c>
      <c r="B2844" s="90" t="s">
        <v>7003</v>
      </c>
      <c r="C2844" s="90" t="s">
        <v>10</v>
      </c>
      <c r="D2844" s="90" t="str">
        <f>VLOOKUP(Tabela1[[#This Row],[Origem]],'Perguntas 1 a 24'!$J$28:$K$34,2,FALSE)</f>
        <v>Centro-Oeste</v>
      </c>
      <c r="E2844" s="90" t="s">
        <v>14182</v>
      </c>
      <c r="F2844" s="91">
        <v>47212</v>
      </c>
      <c r="G2844" s="92">
        <v>49587</v>
      </c>
      <c r="H2844" s="90" t="s">
        <v>14</v>
      </c>
      <c r="I28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4" s="90" t="s">
        <v>7757</v>
      </c>
    </row>
    <row r="2845" spans="1:11">
      <c r="A2845" s="90" t="s">
        <v>7756</v>
      </c>
      <c r="B2845" s="90" t="s">
        <v>7757</v>
      </c>
      <c r="C2845" s="90" t="s">
        <v>6</v>
      </c>
      <c r="D2845" s="90" t="str">
        <f>VLOOKUP(Tabela1[[#This Row],[Origem]],'Perguntas 1 a 24'!$J$28:$K$34,2,FALSE)</f>
        <v>Nordeste</v>
      </c>
      <c r="E2845" s="90" t="s">
        <v>14183</v>
      </c>
      <c r="F2845" s="91">
        <v>47212</v>
      </c>
      <c r="G2845" s="92">
        <v>115734</v>
      </c>
      <c r="H2845" s="90" t="s">
        <v>7</v>
      </c>
      <c r="I28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5" s="90" t="s">
        <v>9980</v>
      </c>
    </row>
    <row r="2846" spans="1:11">
      <c r="A2846" s="90" t="s">
        <v>9979</v>
      </c>
      <c r="B2846" s="90" t="s">
        <v>9980</v>
      </c>
      <c r="C2846" s="90" t="s">
        <v>12</v>
      </c>
      <c r="D2846" s="90" t="str">
        <f>VLOOKUP(Tabela1[[#This Row],[Origem]],'Perguntas 1 a 24'!$J$28:$K$34,2,FALSE)</f>
        <v>Sudeste</v>
      </c>
      <c r="E2846" s="90" t="s">
        <v>14184</v>
      </c>
      <c r="F2846" s="91">
        <v>47212</v>
      </c>
      <c r="G2846" s="92">
        <v>42363</v>
      </c>
      <c r="H2846" s="90" t="s">
        <v>9</v>
      </c>
      <c r="I28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6" s="90" t="s">
        <v>7377</v>
      </c>
    </row>
    <row r="2847" spans="1:11">
      <c r="A2847" s="90" t="s">
        <v>7376</v>
      </c>
      <c r="B2847" s="90" t="s">
        <v>7377</v>
      </c>
      <c r="C2847" s="90" t="s">
        <v>6</v>
      </c>
      <c r="D2847" s="90" t="str">
        <f>VLOOKUP(Tabela1[[#This Row],[Origem]],'Perguntas 1 a 24'!$J$28:$K$34,2,FALSE)</f>
        <v>Nordeste</v>
      </c>
      <c r="E2847" s="90" t="s">
        <v>14185</v>
      </c>
      <c r="F2847" s="91">
        <v>47213</v>
      </c>
      <c r="G2847" s="92">
        <v>67239</v>
      </c>
      <c r="H2847" s="90" t="s">
        <v>14</v>
      </c>
      <c r="I28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7" s="90" t="s">
        <v>7789</v>
      </c>
    </row>
    <row r="2848" spans="1:11">
      <c r="A2848" s="90" t="s">
        <v>7788</v>
      </c>
      <c r="B2848" s="90" t="s">
        <v>7789</v>
      </c>
      <c r="C2848" s="90" t="s">
        <v>16</v>
      </c>
      <c r="D2848" s="90" t="str">
        <f>VLOOKUP(Tabela1[[#This Row],[Origem]],'Perguntas 1 a 24'!$J$28:$K$34,2,FALSE)</f>
        <v>Sudeste</v>
      </c>
      <c r="E2848" s="90" t="s">
        <v>14186</v>
      </c>
      <c r="F2848" s="91">
        <v>47214</v>
      </c>
      <c r="G2848" s="92">
        <v>102839</v>
      </c>
      <c r="H2848" s="90" t="s">
        <v>9</v>
      </c>
      <c r="I28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8" s="90" t="s">
        <v>8307</v>
      </c>
    </row>
    <row r="2849" spans="1:11">
      <c r="A2849" s="90" t="s">
        <v>8306</v>
      </c>
      <c r="B2849" s="90" t="s">
        <v>8307</v>
      </c>
      <c r="C2849" s="90" t="s">
        <v>15</v>
      </c>
      <c r="D2849" s="90" t="str">
        <f>VLOOKUP(Tabela1[[#This Row],[Origem]],'Perguntas 1 a 24'!$J$28:$K$34,2,FALSE)</f>
        <v>Sudeste</v>
      </c>
      <c r="E2849" s="90" t="s">
        <v>14187</v>
      </c>
      <c r="F2849" s="91">
        <v>47214</v>
      </c>
      <c r="G2849" s="92">
        <v>102976</v>
      </c>
      <c r="H2849" s="90" t="s">
        <v>7</v>
      </c>
      <c r="I28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49" s="90" t="s">
        <v>7979</v>
      </c>
    </row>
    <row r="2850" spans="1:11">
      <c r="A2850" s="90" t="s">
        <v>7978</v>
      </c>
      <c r="B2850" s="90" t="s">
        <v>7979</v>
      </c>
      <c r="C2850" s="90" t="s">
        <v>15</v>
      </c>
      <c r="D2850" s="90" t="str">
        <f>VLOOKUP(Tabela1[[#This Row],[Origem]],'Perguntas 1 a 24'!$J$28:$K$34,2,FALSE)</f>
        <v>Sudeste</v>
      </c>
      <c r="E2850" s="90" t="s">
        <v>14188</v>
      </c>
      <c r="F2850" s="91">
        <v>47215</v>
      </c>
      <c r="G2850" s="92">
        <v>59148</v>
      </c>
      <c r="H2850" s="90" t="s">
        <v>9</v>
      </c>
      <c r="I28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0" s="90" t="s">
        <v>9974</v>
      </c>
    </row>
    <row r="2851" spans="1:11">
      <c r="A2851" s="90" t="s">
        <v>9973</v>
      </c>
      <c r="B2851" s="90" t="s">
        <v>9974</v>
      </c>
      <c r="C2851" s="90" t="s">
        <v>16</v>
      </c>
      <c r="D2851" s="90" t="str">
        <f>VLOOKUP(Tabela1[[#This Row],[Origem]],'Perguntas 1 a 24'!$J$28:$K$34,2,FALSE)</f>
        <v>Sudeste</v>
      </c>
      <c r="E2851" s="90" t="s">
        <v>14189</v>
      </c>
      <c r="F2851" s="91">
        <v>47216</v>
      </c>
      <c r="G2851" s="92">
        <v>46843</v>
      </c>
      <c r="H2851" s="90" t="s">
        <v>9</v>
      </c>
      <c r="I28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1" s="90" t="s">
        <v>9492</v>
      </c>
    </row>
    <row r="2852" spans="1:11">
      <c r="A2852" s="90" t="s">
        <v>9491</v>
      </c>
      <c r="B2852" s="90" t="s">
        <v>9492</v>
      </c>
      <c r="C2852" s="90" t="s">
        <v>12</v>
      </c>
      <c r="D2852" s="90" t="str">
        <f>VLOOKUP(Tabela1[[#This Row],[Origem]],'Perguntas 1 a 24'!$J$28:$K$34,2,FALSE)</f>
        <v>Sudeste</v>
      </c>
      <c r="E2852" s="90" t="s">
        <v>14190</v>
      </c>
      <c r="F2852" s="91">
        <v>47217</v>
      </c>
      <c r="G2852" s="92">
        <v>71971</v>
      </c>
      <c r="H2852" s="90" t="s">
        <v>11</v>
      </c>
      <c r="I28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2" s="90" t="s">
        <v>3983</v>
      </c>
    </row>
    <row r="2853" spans="1:11">
      <c r="A2853" s="90" t="s">
        <v>3982</v>
      </c>
      <c r="B2853" s="90" t="s">
        <v>3983</v>
      </c>
      <c r="C2853" s="90" t="s">
        <v>6</v>
      </c>
      <c r="D2853" s="90" t="str">
        <f>VLOOKUP(Tabela1[[#This Row],[Origem]],'Perguntas 1 a 24'!$J$28:$K$34,2,FALSE)</f>
        <v>Nordeste</v>
      </c>
      <c r="E2853" s="90" t="s">
        <v>14191</v>
      </c>
      <c r="F2853" s="91">
        <v>47218</v>
      </c>
      <c r="G2853" s="92">
        <v>50394</v>
      </c>
      <c r="H2853" s="90" t="s">
        <v>7</v>
      </c>
      <c r="I28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3" s="90" t="s">
        <v>7853</v>
      </c>
    </row>
    <row r="2854" spans="1:11">
      <c r="A2854" s="90" t="s">
        <v>7852</v>
      </c>
      <c r="B2854" s="90" t="s">
        <v>7853</v>
      </c>
      <c r="C2854" s="90" t="s">
        <v>12</v>
      </c>
      <c r="D2854" s="90" t="str">
        <f>VLOOKUP(Tabela1[[#This Row],[Origem]],'Perguntas 1 a 24'!$J$28:$K$34,2,FALSE)</f>
        <v>Sudeste</v>
      </c>
      <c r="E2854" s="90" t="s">
        <v>14192</v>
      </c>
      <c r="F2854" s="91">
        <v>47218</v>
      </c>
      <c r="G2854" s="92">
        <v>80786</v>
      </c>
      <c r="H2854" s="90" t="s">
        <v>14</v>
      </c>
      <c r="I28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4" s="90" t="s">
        <v>9368</v>
      </c>
    </row>
    <row r="2855" spans="1:11">
      <c r="A2855" s="90" t="s">
        <v>9367</v>
      </c>
      <c r="B2855" s="90" t="s">
        <v>9368</v>
      </c>
      <c r="C2855" s="90" t="s">
        <v>10</v>
      </c>
      <c r="D2855" s="90" t="str">
        <f>VLOOKUP(Tabela1[[#This Row],[Origem]],'Perguntas 1 a 24'!$J$28:$K$34,2,FALSE)</f>
        <v>Centro-Oeste</v>
      </c>
      <c r="E2855" s="90" t="s">
        <v>14193</v>
      </c>
      <c r="F2855" s="91">
        <v>47219</v>
      </c>
      <c r="G2855" s="92">
        <v>73285</v>
      </c>
      <c r="H2855" s="90" t="s">
        <v>9</v>
      </c>
      <c r="I28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5" s="90" t="s">
        <v>10284</v>
      </c>
    </row>
    <row r="2856" spans="1:11">
      <c r="A2856" s="90" t="s">
        <v>10283</v>
      </c>
      <c r="B2856" s="90" t="s">
        <v>10284</v>
      </c>
      <c r="C2856" s="90" t="s">
        <v>8</v>
      </c>
      <c r="D2856" s="90" t="str">
        <f>VLOOKUP(Tabela1[[#This Row],[Origem]],'Perguntas 1 a 24'!$J$28:$K$34,2,FALSE)</f>
        <v>Nordeste</v>
      </c>
      <c r="E2856" s="90" t="s">
        <v>14194</v>
      </c>
      <c r="F2856" s="91">
        <v>47219</v>
      </c>
      <c r="G2856" s="92">
        <v>44186</v>
      </c>
      <c r="H2856" s="90" t="s">
        <v>7</v>
      </c>
      <c r="I28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6" s="90" t="s">
        <v>10514</v>
      </c>
    </row>
    <row r="2857" spans="1:11">
      <c r="A2857" s="90" t="s">
        <v>10513</v>
      </c>
      <c r="B2857" s="90" t="s">
        <v>10514</v>
      </c>
      <c r="C2857" s="90" t="s">
        <v>16</v>
      </c>
      <c r="D2857" s="90" t="str">
        <f>VLOOKUP(Tabela1[[#This Row],[Origem]],'Perguntas 1 a 24'!$J$28:$K$34,2,FALSE)</f>
        <v>Sudeste</v>
      </c>
      <c r="E2857" s="90" t="s">
        <v>14195</v>
      </c>
      <c r="F2857" s="91">
        <v>47221</v>
      </c>
      <c r="G2857" s="92">
        <v>110810</v>
      </c>
      <c r="H2857" s="90" t="s">
        <v>14</v>
      </c>
      <c r="I28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7" s="90" t="s">
        <v>5733</v>
      </c>
    </row>
    <row r="2858" spans="1:11">
      <c r="A2858" s="90" t="s">
        <v>5732</v>
      </c>
      <c r="B2858" s="90" t="s">
        <v>5733</v>
      </c>
      <c r="C2858" s="90" t="s">
        <v>6</v>
      </c>
      <c r="D2858" s="90" t="str">
        <f>VLOOKUP(Tabela1[[#This Row],[Origem]],'Perguntas 1 a 24'!$J$28:$K$34,2,FALSE)</f>
        <v>Nordeste</v>
      </c>
      <c r="E2858" s="90" t="s">
        <v>14196</v>
      </c>
      <c r="F2858" s="91">
        <v>47222</v>
      </c>
      <c r="G2858" s="92">
        <v>73456</v>
      </c>
      <c r="H2858" s="90" t="s">
        <v>7</v>
      </c>
      <c r="I28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8" s="90" t="s">
        <v>7089</v>
      </c>
    </row>
    <row r="2859" spans="1:11">
      <c r="A2859" s="90" t="s">
        <v>7088</v>
      </c>
      <c r="B2859" s="90" t="s">
        <v>7089</v>
      </c>
      <c r="C2859" s="90" t="s">
        <v>12</v>
      </c>
      <c r="D2859" s="90" t="str">
        <f>VLOOKUP(Tabela1[[#This Row],[Origem]],'Perguntas 1 a 24'!$J$28:$K$34,2,FALSE)</f>
        <v>Sudeste</v>
      </c>
      <c r="E2859" s="90" t="s">
        <v>14197</v>
      </c>
      <c r="F2859" s="91">
        <v>47222</v>
      </c>
      <c r="G2859" s="92">
        <v>40226</v>
      </c>
      <c r="H2859" s="90" t="s">
        <v>7</v>
      </c>
      <c r="I28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59" s="90" t="s">
        <v>5767</v>
      </c>
    </row>
    <row r="2860" spans="1:11">
      <c r="A2860" s="90" t="s">
        <v>5766</v>
      </c>
      <c r="B2860" s="90" t="s">
        <v>5767</v>
      </c>
      <c r="C2860" s="90" t="s">
        <v>15</v>
      </c>
      <c r="D2860" s="90" t="str">
        <f>VLOOKUP(Tabela1[[#This Row],[Origem]],'Perguntas 1 a 24'!$J$28:$K$34,2,FALSE)</f>
        <v>Sudeste</v>
      </c>
      <c r="E2860" s="90" t="s">
        <v>14198</v>
      </c>
      <c r="F2860" s="91">
        <v>47223</v>
      </c>
      <c r="G2860" s="92">
        <v>51592</v>
      </c>
      <c r="H2860" s="90" t="s">
        <v>9</v>
      </c>
      <c r="I28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0" s="90" t="s">
        <v>8784</v>
      </c>
    </row>
    <row r="2861" spans="1:11">
      <c r="A2861" s="90" t="s">
        <v>8783</v>
      </c>
      <c r="B2861" s="90" t="s">
        <v>8784</v>
      </c>
      <c r="C2861" s="90" t="s">
        <v>8</v>
      </c>
      <c r="D2861" s="90" t="str">
        <f>VLOOKUP(Tabela1[[#This Row],[Origem]],'Perguntas 1 a 24'!$J$28:$K$34,2,FALSE)</f>
        <v>Nordeste</v>
      </c>
      <c r="E2861" s="90" t="s">
        <v>14199</v>
      </c>
      <c r="F2861" s="91">
        <v>47223</v>
      </c>
      <c r="G2861" s="92">
        <v>72089</v>
      </c>
      <c r="H2861" s="90" t="s">
        <v>9</v>
      </c>
      <c r="I28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1" s="90" t="s">
        <v>9514</v>
      </c>
    </row>
    <row r="2862" spans="1:11">
      <c r="A2862" s="90" t="s">
        <v>9513</v>
      </c>
      <c r="B2862" s="90" t="s">
        <v>9514</v>
      </c>
      <c r="C2862" s="90" t="s">
        <v>8</v>
      </c>
      <c r="D2862" s="90" t="str">
        <f>VLOOKUP(Tabela1[[#This Row],[Origem]],'Perguntas 1 a 24'!$J$28:$K$34,2,FALSE)</f>
        <v>Nordeste</v>
      </c>
      <c r="E2862" s="90" t="s">
        <v>14200</v>
      </c>
      <c r="F2862" s="91">
        <v>47223</v>
      </c>
      <c r="G2862" s="92">
        <v>27303</v>
      </c>
      <c r="H2862" s="90" t="s">
        <v>11</v>
      </c>
      <c r="I28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2" s="90" t="s">
        <v>9210</v>
      </c>
    </row>
    <row r="2863" spans="1:11">
      <c r="A2863" s="90" t="s">
        <v>9209</v>
      </c>
      <c r="B2863" s="90" t="s">
        <v>9210</v>
      </c>
      <c r="C2863" s="90" t="s">
        <v>8</v>
      </c>
      <c r="D2863" s="90" t="str">
        <f>VLOOKUP(Tabela1[[#This Row],[Origem]],'Perguntas 1 a 24'!$J$28:$K$34,2,FALSE)</f>
        <v>Nordeste</v>
      </c>
      <c r="E2863" s="90" t="s">
        <v>14201</v>
      </c>
      <c r="F2863" s="91">
        <v>47224</v>
      </c>
      <c r="G2863" s="92">
        <v>51517</v>
      </c>
      <c r="H2863" s="90" t="s">
        <v>7</v>
      </c>
      <c r="I28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3" s="90" t="s">
        <v>9832</v>
      </c>
    </row>
    <row r="2864" spans="1:11">
      <c r="A2864" s="90" t="s">
        <v>9831</v>
      </c>
      <c r="B2864" s="90" t="s">
        <v>9832</v>
      </c>
      <c r="C2864" s="90" t="s">
        <v>15</v>
      </c>
      <c r="D2864" s="90" t="str">
        <f>VLOOKUP(Tabela1[[#This Row],[Origem]],'Perguntas 1 a 24'!$J$28:$K$34,2,FALSE)</f>
        <v>Sudeste</v>
      </c>
      <c r="E2864" s="90" t="s">
        <v>14202</v>
      </c>
      <c r="F2864" s="91">
        <v>47224</v>
      </c>
      <c r="G2864" s="92">
        <v>28088</v>
      </c>
      <c r="H2864" s="90" t="s">
        <v>11</v>
      </c>
      <c r="I28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4" s="90" t="s">
        <v>4949</v>
      </c>
    </row>
    <row r="2865" spans="1:11">
      <c r="A2865" s="90" t="s">
        <v>4948</v>
      </c>
      <c r="B2865" s="90" t="s">
        <v>4949</v>
      </c>
      <c r="C2865" s="90" t="s">
        <v>8</v>
      </c>
      <c r="D2865" s="90" t="str">
        <f>VLOOKUP(Tabela1[[#This Row],[Origem]],'Perguntas 1 a 24'!$J$28:$K$34,2,FALSE)</f>
        <v>Nordeste</v>
      </c>
      <c r="E2865" s="90" t="s">
        <v>14203</v>
      </c>
      <c r="F2865" s="91">
        <v>47225</v>
      </c>
      <c r="G2865" s="92">
        <v>90498</v>
      </c>
      <c r="H2865" s="90" t="s">
        <v>9</v>
      </c>
      <c r="I28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5" s="90" t="s">
        <v>6649</v>
      </c>
    </row>
    <row r="2866" spans="1:11">
      <c r="A2866" s="90" t="s">
        <v>6648</v>
      </c>
      <c r="B2866" s="90" t="s">
        <v>6649</v>
      </c>
      <c r="C2866" s="90" t="s">
        <v>15</v>
      </c>
      <c r="D2866" s="90" t="str">
        <f>VLOOKUP(Tabela1[[#This Row],[Origem]],'Perguntas 1 a 24'!$J$28:$K$34,2,FALSE)</f>
        <v>Sudeste</v>
      </c>
      <c r="E2866" s="90" t="s">
        <v>14204</v>
      </c>
      <c r="F2866" s="91">
        <v>47225</v>
      </c>
      <c r="G2866" s="92">
        <v>58288</v>
      </c>
      <c r="H2866" s="90" t="s">
        <v>14</v>
      </c>
      <c r="I28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6" s="90" t="s">
        <v>6369</v>
      </c>
    </row>
    <row r="2867" spans="1:11">
      <c r="A2867" s="90" t="s">
        <v>6368</v>
      </c>
      <c r="B2867" s="90" t="s">
        <v>6369</v>
      </c>
      <c r="C2867" s="90" t="s">
        <v>6</v>
      </c>
      <c r="D2867" s="90" t="str">
        <f>VLOOKUP(Tabela1[[#This Row],[Origem]],'Perguntas 1 a 24'!$J$28:$K$34,2,FALSE)</f>
        <v>Nordeste</v>
      </c>
      <c r="E2867" s="90" t="s">
        <v>14205</v>
      </c>
      <c r="F2867" s="91">
        <v>47226</v>
      </c>
      <c r="G2867" s="92">
        <v>42256</v>
      </c>
      <c r="H2867" s="90" t="s">
        <v>7</v>
      </c>
      <c r="I28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7" s="90" t="s">
        <v>7811</v>
      </c>
    </row>
    <row r="2868" spans="1:11">
      <c r="A2868" s="90" t="s">
        <v>7810</v>
      </c>
      <c r="B2868" s="90" t="s">
        <v>7811</v>
      </c>
      <c r="C2868" s="90" t="s">
        <v>12</v>
      </c>
      <c r="D2868" s="90" t="str">
        <f>VLOOKUP(Tabela1[[#This Row],[Origem]],'Perguntas 1 a 24'!$J$28:$K$34,2,FALSE)</f>
        <v>Sudeste</v>
      </c>
      <c r="E2868" s="90" t="s">
        <v>14206</v>
      </c>
      <c r="F2868" s="91">
        <v>47226</v>
      </c>
      <c r="G2868" s="92">
        <v>40188</v>
      </c>
      <c r="H2868" s="90" t="s">
        <v>7</v>
      </c>
      <c r="I28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8" s="90" t="s">
        <v>8455</v>
      </c>
    </row>
    <row r="2869" spans="1:11">
      <c r="A2869" s="90" t="s">
        <v>8454</v>
      </c>
      <c r="B2869" s="90" t="s">
        <v>8455</v>
      </c>
      <c r="C2869" s="90" t="s">
        <v>8</v>
      </c>
      <c r="D2869" s="90" t="str">
        <f>VLOOKUP(Tabela1[[#This Row],[Origem]],'Perguntas 1 a 24'!$J$28:$K$34,2,FALSE)</f>
        <v>Nordeste</v>
      </c>
      <c r="E2869" s="90" t="s">
        <v>14207</v>
      </c>
      <c r="F2869" s="91">
        <v>47226</v>
      </c>
      <c r="G2869" s="92">
        <v>27144</v>
      </c>
      <c r="H2869" s="90" t="s">
        <v>7</v>
      </c>
      <c r="I28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69" s="90" t="s">
        <v>10368</v>
      </c>
    </row>
    <row r="2870" spans="1:11">
      <c r="A2870" s="90" t="s">
        <v>10367</v>
      </c>
      <c r="B2870" s="90" t="s">
        <v>10368</v>
      </c>
      <c r="C2870" s="90" t="s">
        <v>10</v>
      </c>
      <c r="D2870" s="90" t="str">
        <f>VLOOKUP(Tabela1[[#This Row],[Origem]],'Perguntas 1 a 24'!$J$28:$K$34,2,FALSE)</f>
        <v>Centro-Oeste</v>
      </c>
      <c r="E2870" s="90" t="s">
        <v>14208</v>
      </c>
      <c r="F2870" s="91">
        <v>47226</v>
      </c>
      <c r="G2870" s="92">
        <v>78211</v>
      </c>
      <c r="H2870" s="90" t="s">
        <v>14</v>
      </c>
      <c r="I28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0" s="90" t="s">
        <v>3837</v>
      </c>
    </row>
    <row r="2871" spans="1:11">
      <c r="A2871" s="90" t="s">
        <v>3836</v>
      </c>
      <c r="B2871" s="90" t="s">
        <v>3837</v>
      </c>
      <c r="C2871" s="90" t="s">
        <v>6</v>
      </c>
      <c r="D2871" s="90" t="str">
        <f>VLOOKUP(Tabela1[[#This Row],[Origem]],'Perguntas 1 a 24'!$J$28:$K$34,2,FALSE)</f>
        <v>Nordeste</v>
      </c>
      <c r="E2871" s="90" t="s">
        <v>14209</v>
      </c>
      <c r="F2871" s="91">
        <v>47227</v>
      </c>
      <c r="G2871" s="92">
        <v>84236</v>
      </c>
      <c r="H2871" s="90" t="s">
        <v>14</v>
      </c>
      <c r="I28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1" s="90" t="s">
        <v>4911</v>
      </c>
    </row>
    <row r="2872" spans="1:11">
      <c r="A2872" s="90" t="s">
        <v>4910</v>
      </c>
      <c r="B2872" s="90" t="s">
        <v>4911</v>
      </c>
      <c r="C2872" s="90" t="s">
        <v>15</v>
      </c>
      <c r="D2872" s="90" t="str">
        <f>VLOOKUP(Tabela1[[#This Row],[Origem]],'Perguntas 1 a 24'!$J$28:$K$34,2,FALSE)</f>
        <v>Sudeste</v>
      </c>
      <c r="E2872" s="90" t="s">
        <v>14210</v>
      </c>
      <c r="F2872" s="91">
        <v>47227</v>
      </c>
      <c r="G2872" s="92">
        <v>102032</v>
      </c>
      <c r="H2872" s="90" t="s">
        <v>14</v>
      </c>
      <c r="I28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2" s="90" t="s">
        <v>6631</v>
      </c>
    </row>
    <row r="2873" spans="1:11">
      <c r="A2873" s="90" t="s">
        <v>6630</v>
      </c>
      <c r="B2873" s="90" t="s">
        <v>6631</v>
      </c>
      <c r="C2873" s="90" t="s">
        <v>13</v>
      </c>
      <c r="D2873" s="90" t="str">
        <f>VLOOKUP(Tabela1[[#This Row],[Origem]],'Perguntas 1 a 24'!$J$28:$K$34,2,FALSE)</f>
        <v>Sudeste</v>
      </c>
      <c r="E2873" s="90" t="s">
        <v>14211</v>
      </c>
      <c r="F2873" s="91">
        <v>47227</v>
      </c>
      <c r="G2873" s="92">
        <v>99793</v>
      </c>
      <c r="H2873" s="90" t="s">
        <v>14</v>
      </c>
      <c r="I28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3" s="90" t="s">
        <v>11286</v>
      </c>
    </row>
    <row r="2874" spans="1:11">
      <c r="A2874" s="90" t="s">
        <v>11285</v>
      </c>
      <c r="B2874" s="90" t="s">
        <v>11286</v>
      </c>
      <c r="C2874" s="90" t="s">
        <v>8</v>
      </c>
      <c r="D2874" s="90" t="str">
        <f>VLOOKUP(Tabela1[[#This Row],[Origem]],'Perguntas 1 a 24'!$J$28:$K$34,2,FALSE)</f>
        <v>Nordeste</v>
      </c>
      <c r="E2874" s="90" t="s">
        <v>14212</v>
      </c>
      <c r="F2874" s="91">
        <v>47227</v>
      </c>
      <c r="G2874" s="92">
        <v>111437</v>
      </c>
      <c r="H2874" s="90" t="s">
        <v>7</v>
      </c>
      <c r="I28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4" s="90" t="s">
        <v>7649</v>
      </c>
    </row>
    <row r="2875" spans="1:11">
      <c r="A2875" s="90" t="s">
        <v>7648</v>
      </c>
      <c r="B2875" s="90" t="s">
        <v>7649</v>
      </c>
      <c r="C2875" s="90" t="s">
        <v>8</v>
      </c>
      <c r="D2875" s="90" t="str">
        <f>VLOOKUP(Tabela1[[#This Row],[Origem]],'Perguntas 1 a 24'!$J$28:$K$34,2,FALSE)</f>
        <v>Nordeste</v>
      </c>
      <c r="E2875" s="90" t="s">
        <v>14213</v>
      </c>
      <c r="F2875" s="91">
        <v>47228</v>
      </c>
      <c r="G2875" s="92">
        <v>101900</v>
      </c>
      <c r="H2875" s="90" t="s">
        <v>11</v>
      </c>
      <c r="I28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5" s="90" t="s">
        <v>4077</v>
      </c>
    </row>
    <row r="2876" spans="1:11">
      <c r="A2876" s="90" t="s">
        <v>4076</v>
      </c>
      <c r="B2876" s="90" t="s">
        <v>4077</v>
      </c>
      <c r="C2876" s="90" t="s">
        <v>10</v>
      </c>
      <c r="D2876" s="90" t="str">
        <f>VLOOKUP(Tabela1[[#This Row],[Origem]],'Perguntas 1 a 24'!$J$28:$K$34,2,FALSE)</f>
        <v>Centro-Oeste</v>
      </c>
      <c r="E2876" s="90" t="s">
        <v>14214</v>
      </c>
      <c r="F2876" s="91">
        <v>47229</v>
      </c>
      <c r="G2876" s="92">
        <v>89794</v>
      </c>
      <c r="H2876" s="90" t="s">
        <v>11</v>
      </c>
      <c r="I28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6" s="90" t="s">
        <v>11308</v>
      </c>
    </row>
    <row r="2877" spans="1:11">
      <c r="A2877" s="90" t="s">
        <v>11307</v>
      </c>
      <c r="B2877" s="90" t="s">
        <v>11308</v>
      </c>
      <c r="C2877" s="90" t="s">
        <v>12</v>
      </c>
      <c r="D2877" s="90" t="str">
        <f>VLOOKUP(Tabela1[[#This Row],[Origem]],'Perguntas 1 a 24'!$J$28:$K$34,2,FALSE)</f>
        <v>Sudeste</v>
      </c>
      <c r="E2877" s="90" t="s">
        <v>14215</v>
      </c>
      <c r="F2877" s="91">
        <v>47230</v>
      </c>
      <c r="G2877" s="92">
        <v>99936</v>
      </c>
      <c r="H2877" s="90" t="s">
        <v>9</v>
      </c>
      <c r="I28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7" s="90" t="s">
        <v>5415</v>
      </c>
    </row>
    <row r="2878" spans="1:11">
      <c r="A2878" s="90" t="s">
        <v>5414</v>
      </c>
      <c r="B2878" s="90" t="s">
        <v>5415</v>
      </c>
      <c r="C2878" s="90" t="s">
        <v>12</v>
      </c>
      <c r="D2878" s="90" t="str">
        <f>VLOOKUP(Tabela1[[#This Row],[Origem]],'Perguntas 1 a 24'!$J$28:$K$34,2,FALSE)</f>
        <v>Sudeste</v>
      </c>
      <c r="E2878" s="90" t="s">
        <v>14216</v>
      </c>
      <c r="F2878" s="91">
        <v>47231</v>
      </c>
      <c r="G2878" s="92">
        <v>41027</v>
      </c>
      <c r="H2878" s="90" t="s">
        <v>7</v>
      </c>
      <c r="I28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8" s="90" t="s">
        <v>8295</v>
      </c>
    </row>
    <row r="2879" spans="1:11">
      <c r="A2879" s="90" t="s">
        <v>8294</v>
      </c>
      <c r="B2879" s="90" t="s">
        <v>8295</v>
      </c>
      <c r="C2879" s="90" t="s">
        <v>16</v>
      </c>
      <c r="D2879" s="90" t="str">
        <f>VLOOKUP(Tabela1[[#This Row],[Origem]],'Perguntas 1 a 24'!$J$28:$K$34,2,FALSE)</f>
        <v>Sudeste</v>
      </c>
      <c r="E2879" s="90" t="s">
        <v>14217</v>
      </c>
      <c r="F2879" s="91">
        <v>47232</v>
      </c>
      <c r="G2879" s="92">
        <v>87520</v>
      </c>
      <c r="H2879" s="90" t="s">
        <v>9</v>
      </c>
      <c r="I28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79" s="90" t="s">
        <v>9280</v>
      </c>
    </row>
    <row r="2880" spans="1:11">
      <c r="A2880" s="90" t="s">
        <v>9279</v>
      </c>
      <c r="B2880" s="90" t="s">
        <v>9280</v>
      </c>
      <c r="C2880" s="90" t="s">
        <v>6</v>
      </c>
      <c r="D2880" s="90" t="str">
        <f>VLOOKUP(Tabela1[[#This Row],[Origem]],'Perguntas 1 a 24'!$J$28:$K$34,2,FALSE)</f>
        <v>Nordeste</v>
      </c>
      <c r="E2880" s="90" t="s">
        <v>14218</v>
      </c>
      <c r="F2880" s="91">
        <v>47232</v>
      </c>
      <c r="G2880" s="92">
        <v>54813</v>
      </c>
      <c r="H2880" s="90" t="s">
        <v>9</v>
      </c>
      <c r="I28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0" s="90" t="s">
        <v>9864</v>
      </c>
    </row>
    <row r="2881" spans="1:11">
      <c r="A2881" s="90" t="s">
        <v>9863</v>
      </c>
      <c r="B2881" s="90" t="s">
        <v>9864</v>
      </c>
      <c r="C2881" s="90" t="s">
        <v>13</v>
      </c>
      <c r="D2881" s="90" t="str">
        <f>VLOOKUP(Tabela1[[#This Row],[Origem]],'Perguntas 1 a 24'!$J$28:$K$34,2,FALSE)</f>
        <v>Sudeste</v>
      </c>
      <c r="E2881" s="90" t="s">
        <v>14219</v>
      </c>
      <c r="F2881" s="91">
        <v>47232</v>
      </c>
      <c r="G2881" s="92">
        <v>28339</v>
      </c>
      <c r="H2881" s="90" t="s">
        <v>7</v>
      </c>
      <c r="I28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1" s="90" t="s">
        <v>5713</v>
      </c>
    </row>
    <row r="2882" spans="1:11">
      <c r="A2882" s="90" t="s">
        <v>5712</v>
      </c>
      <c r="B2882" s="90" t="s">
        <v>5713</v>
      </c>
      <c r="C2882" s="90" t="s">
        <v>10</v>
      </c>
      <c r="D2882" s="90" t="str">
        <f>VLOOKUP(Tabela1[[#This Row],[Origem]],'Perguntas 1 a 24'!$J$28:$K$34,2,FALSE)</f>
        <v>Centro-Oeste</v>
      </c>
      <c r="E2882" s="90" t="s">
        <v>14220</v>
      </c>
      <c r="F2882" s="91">
        <v>47233</v>
      </c>
      <c r="G2882" s="92">
        <v>62996</v>
      </c>
      <c r="H2882" s="90" t="s">
        <v>9</v>
      </c>
      <c r="I28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2" s="90" t="s">
        <v>8926</v>
      </c>
    </row>
    <row r="2883" spans="1:11">
      <c r="A2883" s="90" t="s">
        <v>8925</v>
      </c>
      <c r="B2883" s="90" t="s">
        <v>8926</v>
      </c>
      <c r="C2883" s="90" t="s">
        <v>6</v>
      </c>
      <c r="D2883" s="90" t="str">
        <f>VLOOKUP(Tabela1[[#This Row],[Origem]],'Perguntas 1 a 24'!$J$28:$K$34,2,FALSE)</f>
        <v>Nordeste</v>
      </c>
      <c r="E2883" s="90" t="s">
        <v>14221</v>
      </c>
      <c r="F2883" s="91">
        <v>47233</v>
      </c>
      <c r="G2883" s="92">
        <v>95038</v>
      </c>
      <c r="H2883" s="90" t="s">
        <v>11</v>
      </c>
      <c r="I28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3" s="90" t="s">
        <v>9118</v>
      </c>
    </row>
    <row r="2884" spans="1:11">
      <c r="A2884" s="90" t="s">
        <v>9117</v>
      </c>
      <c r="B2884" s="90" t="s">
        <v>9118</v>
      </c>
      <c r="C2884" s="90" t="s">
        <v>10</v>
      </c>
      <c r="D2884" s="90" t="str">
        <f>VLOOKUP(Tabela1[[#This Row],[Origem]],'Perguntas 1 a 24'!$J$28:$K$34,2,FALSE)</f>
        <v>Centro-Oeste</v>
      </c>
      <c r="E2884" s="90" t="s">
        <v>14222</v>
      </c>
      <c r="F2884" s="91">
        <v>47233</v>
      </c>
      <c r="G2884" s="92">
        <v>100565</v>
      </c>
      <c r="H2884" s="90" t="s">
        <v>7</v>
      </c>
      <c r="I28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4" s="90" t="s">
        <v>5529</v>
      </c>
    </row>
    <row r="2885" spans="1:11">
      <c r="A2885" s="90" t="s">
        <v>5528</v>
      </c>
      <c r="B2885" s="90" t="s">
        <v>5529</v>
      </c>
      <c r="C2885" s="90" t="s">
        <v>10</v>
      </c>
      <c r="D2885" s="90" t="str">
        <f>VLOOKUP(Tabela1[[#This Row],[Origem]],'Perguntas 1 a 24'!$J$28:$K$34,2,FALSE)</f>
        <v>Centro-Oeste</v>
      </c>
      <c r="E2885" s="90" t="s">
        <v>14223</v>
      </c>
      <c r="F2885" s="91">
        <v>47234</v>
      </c>
      <c r="G2885" s="92">
        <v>79388</v>
      </c>
      <c r="H2885" s="90" t="s">
        <v>11</v>
      </c>
      <c r="I28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5" s="90" t="s">
        <v>3771</v>
      </c>
    </row>
    <row r="2886" spans="1:11">
      <c r="A2886" s="90" t="s">
        <v>3770</v>
      </c>
      <c r="B2886" s="90" t="s">
        <v>3771</v>
      </c>
      <c r="C2886" s="90" t="s">
        <v>10</v>
      </c>
      <c r="D2886" s="90" t="str">
        <f>VLOOKUP(Tabela1[[#This Row],[Origem]],'Perguntas 1 a 24'!$J$28:$K$34,2,FALSE)</f>
        <v>Centro-Oeste</v>
      </c>
      <c r="E2886" s="90" t="s">
        <v>14224</v>
      </c>
      <c r="F2886" s="91">
        <v>47235</v>
      </c>
      <c r="G2886" s="92">
        <v>51841</v>
      </c>
      <c r="H2886" s="90" t="s">
        <v>9</v>
      </c>
      <c r="I28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6" s="90" t="s">
        <v>6071</v>
      </c>
    </row>
    <row r="2887" spans="1:11">
      <c r="A2887" s="90" t="s">
        <v>6070</v>
      </c>
      <c r="B2887" s="90" t="s">
        <v>6071</v>
      </c>
      <c r="C2887" s="90" t="s">
        <v>12</v>
      </c>
      <c r="D2887" s="90" t="str">
        <f>VLOOKUP(Tabela1[[#This Row],[Origem]],'Perguntas 1 a 24'!$J$28:$K$34,2,FALSE)</f>
        <v>Sudeste</v>
      </c>
      <c r="E2887" s="90" t="s">
        <v>14225</v>
      </c>
      <c r="F2887" s="91">
        <v>47235</v>
      </c>
      <c r="G2887" s="92">
        <v>49891</v>
      </c>
      <c r="H2887" s="90" t="s">
        <v>7</v>
      </c>
      <c r="I28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7" s="90" t="s">
        <v>5219</v>
      </c>
    </row>
    <row r="2888" spans="1:11">
      <c r="A2888" s="90" t="s">
        <v>5218</v>
      </c>
      <c r="B2888" s="90" t="s">
        <v>5219</v>
      </c>
      <c r="C2888" s="90" t="s">
        <v>10</v>
      </c>
      <c r="D2888" s="90" t="str">
        <f>VLOOKUP(Tabela1[[#This Row],[Origem]],'Perguntas 1 a 24'!$J$28:$K$34,2,FALSE)</f>
        <v>Centro-Oeste</v>
      </c>
      <c r="E2888" s="90" t="s">
        <v>14226</v>
      </c>
      <c r="F2888" s="91">
        <v>47236</v>
      </c>
      <c r="G2888" s="92">
        <v>41577</v>
      </c>
      <c r="H2888" s="90" t="s">
        <v>7</v>
      </c>
      <c r="I28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8" s="90" t="s">
        <v>6589</v>
      </c>
    </row>
    <row r="2889" spans="1:11">
      <c r="A2889" s="90" t="s">
        <v>6588</v>
      </c>
      <c r="B2889" s="90" t="s">
        <v>6589</v>
      </c>
      <c r="C2889" s="90" t="s">
        <v>13</v>
      </c>
      <c r="D2889" s="90" t="str">
        <f>VLOOKUP(Tabela1[[#This Row],[Origem]],'Perguntas 1 a 24'!$J$28:$K$34,2,FALSE)</f>
        <v>Sudeste</v>
      </c>
      <c r="E2889" s="90" t="s">
        <v>14227</v>
      </c>
      <c r="F2889" s="91">
        <v>47236</v>
      </c>
      <c r="G2889" s="92">
        <v>103946</v>
      </c>
      <c r="H2889" s="90" t="s">
        <v>14</v>
      </c>
      <c r="I28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89" s="90" t="s">
        <v>6947</v>
      </c>
    </row>
    <row r="2890" spans="1:11">
      <c r="A2890" s="90" t="s">
        <v>6946</v>
      </c>
      <c r="B2890" s="90" t="s">
        <v>6947</v>
      </c>
      <c r="C2890" s="90" t="s">
        <v>16</v>
      </c>
      <c r="D2890" s="90" t="str">
        <f>VLOOKUP(Tabela1[[#This Row],[Origem]],'Perguntas 1 a 24'!$J$28:$K$34,2,FALSE)</f>
        <v>Sudeste</v>
      </c>
      <c r="E2890" s="90" t="s">
        <v>14228</v>
      </c>
      <c r="F2890" s="91">
        <v>47236</v>
      </c>
      <c r="G2890" s="92">
        <v>58624</v>
      </c>
      <c r="H2890" s="90" t="s">
        <v>14</v>
      </c>
      <c r="I28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0" s="90" t="s">
        <v>9908</v>
      </c>
    </row>
    <row r="2891" spans="1:11">
      <c r="A2891" s="90" t="s">
        <v>9907</v>
      </c>
      <c r="B2891" s="90" t="s">
        <v>9908</v>
      </c>
      <c r="C2891" s="90" t="s">
        <v>12</v>
      </c>
      <c r="D2891" s="90" t="str">
        <f>VLOOKUP(Tabela1[[#This Row],[Origem]],'Perguntas 1 a 24'!$J$28:$K$34,2,FALSE)</f>
        <v>Sudeste</v>
      </c>
      <c r="E2891" s="90" t="s">
        <v>14229</v>
      </c>
      <c r="F2891" s="91">
        <v>47236</v>
      </c>
      <c r="G2891" s="92">
        <v>68275</v>
      </c>
      <c r="H2891" s="90" t="s">
        <v>7</v>
      </c>
      <c r="I28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1" s="90" t="s">
        <v>10030</v>
      </c>
    </row>
    <row r="2892" spans="1:11">
      <c r="A2892" s="90" t="s">
        <v>10029</v>
      </c>
      <c r="B2892" s="90" t="s">
        <v>10030</v>
      </c>
      <c r="C2892" s="90" t="s">
        <v>15</v>
      </c>
      <c r="D2892" s="90" t="str">
        <f>VLOOKUP(Tabela1[[#This Row],[Origem]],'Perguntas 1 a 24'!$J$28:$K$34,2,FALSE)</f>
        <v>Sudeste</v>
      </c>
      <c r="E2892" s="90" t="s">
        <v>14230</v>
      </c>
      <c r="F2892" s="91">
        <v>47236</v>
      </c>
      <c r="G2892" s="92">
        <v>71316</v>
      </c>
      <c r="H2892" s="90" t="s">
        <v>11</v>
      </c>
      <c r="I28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2" s="90" t="s">
        <v>5831</v>
      </c>
    </row>
    <row r="2893" spans="1:11">
      <c r="A2893" s="90" t="s">
        <v>5830</v>
      </c>
      <c r="B2893" s="90" t="s">
        <v>5831</v>
      </c>
      <c r="C2893" s="90" t="s">
        <v>15</v>
      </c>
      <c r="D2893" s="90" t="str">
        <f>VLOOKUP(Tabela1[[#This Row],[Origem]],'Perguntas 1 a 24'!$J$28:$K$34,2,FALSE)</f>
        <v>Sudeste</v>
      </c>
      <c r="E2893" s="90" t="s">
        <v>14231</v>
      </c>
      <c r="F2893" s="91">
        <v>47237</v>
      </c>
      <c r="G2893" s="92">
        <v>24263</v>
      </c>
      <c r="H2893" s="90" t="s">
        <v>7</v>
      </c>
      <c r="I28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3" s="90" t="s">
        <v>7735</v>
      </c>
    </row>
    <row r="2894" spans="1:11">
      <c r="A2894" s="90" t="s">
        <v>7734</v>
      </c>
      <c r="B2894" s="90" t="s">
        <v>7735</v>
      </c>
      <c r="C2894" s="90" t="s">
        <v>10</v>
      </c>
      <c r="D2894" s="90" t="str">
        <f>VLOOKUP(Tabela1[[#This Row],[Origem]],'Perguntas 1 a 24'!$J$28:$K$34,2,FALSE)</f>
        <v>Centro-Oeste</v>
      </c>
      <c r="E2894" s="90" t="s">
        <v>14232</v>
      </c>
      <c r="F2894" s="91">
        <v>47237</v>
      </c>
      <c r="G2894" s="92">
        <v>39236</v>
      </c>
      <c r="H2894" s="90" t="s">
        <v>11</v>
      </c>
      <c r="I28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4" s="90" t="s">
        <v>7221</v>
      </c>
    </row>
    <row r="2895" spans="1:11">
      <c r="A2895" s="90" t="s">
        <v>7220</v>
      </c>
      <c r="B2895" s="90" t="s">
        <v>7221</v>
      </c>
      <c r="C2895" s="90" t="s">
        <v>13</v>
      </c>
      <c r="D2895" s="90" t="str">
        <f>VLOOKUP(Tabela1[[#This Row],[Origem]],'Perguntas 1 a 24'!$J$28:$K$34,2,FALSE)</f>
        <v>Sudeste</v>
      </c>
      <c r="E2895" s="90" t="s">
        <v>14233</v>
      </c>
      <c r="F2895" s="91">
        <v>47238</v>
      </c>
      <c r="G2895" s="92">
        <v>107327</v>
      </c>
      <c r="H2895" s="90" t="s">
        <v>11</v>
      </c>
      <c r="I28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5" s="90" t="s">
        <v>9822</v>
      </c>
    </row>
    <row r="2896" spans="1:11">
      <c r="A2896" s="90" t="s">
        <v>9821</v>
      </c>
      <c r="B2896" s="90" t="s">
        <v>9822</v>
      </c>
      <c r="C2896" s="90" t="s">
        <v>16</v>
      </c>
      <c r="D2896" s="90" t="str">
        <f>VLOOKUP(Tabela1[[#This Row],[Origem]],'Perguntas 1 a 24'!$J$28:$K$34,2,FALSE)</f>
        <v>Sudeste</v>
      </c>
      <c r="E2896" s="90" t="s">
        <v>14234</v>
      </c>
      <c r="F2896" s="91">
        <v>47238</v>
      </c>
      <c r="G2896" s="92">
        <v>91571</v>
      </c>
      <c r="H2896" s="90" t="s">
        <v>7</v>
      </c>
      <c r="I28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6" s="90" t="s">
        <v>4921</v>
      </c>
    </row>
    <row r="2897" spans="1:11">
      <c r="A2897" s="90" t="s">
        <v>4920</v>
      </c>
      <c r="B2897" s="90" t="s">
        <v>4921</v>
      </c>
      <c r="C2897" s="90" t="s">
        <v>16</v>
      </c>
      <c r="D2897" s="90" t="str">
        <f>VLOOKUP(Tabela1[[#This Row],[Origem]],'Perguntas 1 a 24'!$J$28:$K$34,2,FALSE)</f>
        <v>Sudeste</v>
      </c>
      <c r="E2897" s="90" t="s">
        <v>14235</v>
      </c>
      <c r="F2897" s="91">
        <v>47239</v>
      </c>
      <c r="G2897" s="92">
        <v>57604</v>
      </c>
      <c r="H2897" s="90" t="s">
        <v>11</v>
      </c>
      <c r="I28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7" s="90" t="s">
        <v>9436</v>
      </c>
    </row>
    <row r="2898" spans="1:11">
      <c r="A2898" s="90" t="s">
        <v>9435</v>
      </c>
      <c r="B2898" s="90" t="s">
        <v>9436</v>
      </c>
      <c r="C2898" s="90" t="s">
        <v>13</v>
      </c>
      <c r="D2898" s="90" t="str">
        <f>VLOOKUP(Tabela1[[#This Row],[Origem]],'Perguntas 1 a 24'!$J$28:$K$34,2,FALSE)</f>
        <v>Sudeste</v>
      </c>
      <c r="E2898" s="90" t="s">
        <v>14236</v>
      </c>
      <c r="F2898" s="91">
        <v>47239</v>
      </c>
      <c r="G2898" s="92">
        <v>24796</v>
      </c>
      <c r="H2898" s="90" t="s">
        <v>9</v>
      </c>
      <c r="I28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8" s="90" t="s">
        <v>11023</v>
      </c>
    </row>
    <row r="2899" spans="1:11">
      <c r="A2899" s="90" t="s">
        <v>11022</v>
      </c>
      <c r="B2899" s="90" t="s">
        <v>11023</v>
      </c>
      <c r="C2899" s="90" t="s">
        <v>13</v>
      </c>
      <c r="D2899" s="90" t="str">
        <f>VLOOKUP(Tabela1[[#This Row],[Origem]],'Perguntas 1 a 24'!$J$28:$K$34,2,FALSE)</f>
        <v>Sudeste</v>
      </c>
      <c r="E2899" s="90" t="s">
        <v>14237</v>
      </c>
      <c r="F2899" s="91">
        <v>47239</v>
      </c>
      <c r="G2899" s="92">
        <v>79684</v>
      </c>
      <c r="H2899" s="90" t="s">
        <v>14</v>
      </c>
      <c r="I28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899" s="90" t="s">
        <v>5899</v>
      </c>
    </row>
    <row r="2900" spans="1:11">
      <c r="A2900" s="90" t="s">
        <v>5898</v>
      </c>
      <c r="B2900" s="90" t="s">
        <v>5899</v>
      </c>
      <c r="C2900" s="90" t="s">
        <v>10</v>
      </c>
      <c r="D2900" s="90" t="str">
        <f>VLOOKUP(Tabela1[[#This Row],[Origem]],'Perguntas 1 a 24'!$J$28:$K$34,2,FALSE)</f>
        <v>Centro-Oeste</v>
      </c>
      <c r="E2900" s="90" t="s">
        <v>14238</v>
      </c>
      <c r="F2900" s="91">
        <v>47240</v>
      </c>
      <c r="G2900" s="92">
        <v>92720</v>
      </c>
      <c r="H2900" s="90" t="s">
        <v>11</v>
      </c>
      <c r="I29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0" s="90" t="s">
        <v>6153</v>
      </c>
    </row>
    <row r="2901" spans="1:11">
      <c r="A2901" s="90" t="s">
        <v>6152</v>
      </c>
      <c r="B2901" s="90" t="s">
        <v>6153</v>
      </c>
      <c r="C2901" s="90" t="s">
        <v>6</v>
      </c>
      <c r="D2901" s="90" t="str">
        <f>VLOOKUP(Tabela1[[#This Row],[Origem]],'Perguntas 1 a 24'!$J$28:$K$34,2,FALSE)</f>
        <v>Nordeste</v>
      </c>
      <c r="E2901" s="90" t="s">
        <v>14239</v>
      </c>
      <c r="F2901" s="91">
        <v>47240</v>
      </c>
      <c r="G2901" s="92">
        <v>21360</v>
      </c>
      <c r="H2901" s="90" t="s">
        <v>11</v>
      </c>
      <c r="I29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1" s="90" t="s">
        <v>8560</v>
      </c>
    </row>
    <row r="2902" spans="1:11">
      <c r="A2902" s="90" t="s">
        <v>8559</v>
      </c>
      <c r="B2902" s="90" t="s">
        <v>8560</v>
      </c>
      <c r="C2902" s="90" t="s">
        <v>13</v>
      </c>
      <c r="D2902" s="90" t="str">
        <f>VLOOKUP(Tabela1[[#This Row],[Origem]],'Perguntas 1 a 24'!$J$28:$K$34,2,FALSE)</f>
        <v>Sudeste</v>
      </c>
      <c r="E2902" s="90" t="s">
        <v>14240</v>
      </c>
      <c r="F2902" s="91">
        <v>47240</v>
      </c>
      <c r="G2902" s="92">
        <v>43349</v>
      </c>
      <c r="H2902" s="90" t="s">
        <v>14</v>
      </c>
      <c r="I29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2" s="90" t="s">
        <v>8994</v>
      </c>
    </row>
    <row r="2903" spans="1:11">
      <c r="A2903" s="90" t="s">
        <v>8993</v>
      </c>
      <c r="B2903" s="90" t="s">
        <v>8994</v>
      </c>
      <c r="C2903" s="90" t="s">
        <v>15</v>
      </c>
      <c r="D2903" s="90" t="str">
        <f>VLOOKUP(Tabela1[[#This Row],[Origem]],'Perguntas 1 a 24'!$J$28:$K$34,2,FALSE)</f>
        <v>Sudeste</v>
      </c>
      <c r="E2903" s="90" t="s">
        <v>14241</v>
      </c>
      <c r="F2903" s="91">
        <v>47240</v>
      </c>
      <c r="G2903" s="92">
        <v>73030</v>
      </c>
      <c r="H2903" s="90" t="s">
        <v>9</v>
      </c>
      <c r="I29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3" s="90" t="s">
        <v>10558</v>
      </c>
    </row>
    <row r="2904" spans="1:11">
      <c r="A2904" s="90" t="s">
        <v>10557</v>
      </c>
      <c r="B2904" s="90" t="s">
        <v>10558</v>
      </c>
      <c r="C2904" s="90" t="s">
        <v>6</v>
      </c>
      <c r="D2904" s="90" t="str">
        <f>VLOOKUP(Tabela1[[#This Row],[Origem]],'Perguntas 1 a 24'!$J$28:$K$34,2,FALSE)</f>
        <v>Nordeste</v>
      </c>
      <c r="E2904" s="90" t="s">
        <v>14242</v>
      </c>
      <c r="F2904" s="91">
        <v>47240</v>
      </c>
      <c r="G2904" s="92">
        <v>73659</v>
      </c>
      <c r="H2904" s="90" t="s">
        <v>14</v>
      </c>
      <c r="I29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4" s="90" t="s">
        <v>11007</v>
      </c>
    </row>
    <row r="2905" spans="1:11">
      <c r="A2905" s="90" t="s">
        <v>11006</v>
      </c>
      <c r="B2905" s="90" t="s">
        <v>11007</v>
      </c>
      <c r="C2905" s="90" t="s">
        <v>15</v>
      </c>
      <c r="D2905" s="90" t="str">
        <f>VLOOKUP(Tabela1[[#This Row],[Origem]],'Perguntas 1 a 24'!$J$28:$K$34,2,FALSE)</f>
        <v>Sudeste</v>
      </c>
      <c r="E2905" s="90" t="s">
        <v>14243</v>
      </c>
      <c r="F2905" s="91">
        <v>47240</v>
      </c>
      <c r="G2905" s="92">
        <v>26619</v>
      </c>
      <c r="H2905" s="90" t="s">
        <v>9</v>
      </c>
      <c r="I29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5" s="90" t="s">
        <v>5435</v>
      </c>
    </row>
    <row r="2906" spans="1:11">
      <c r="A2906" s="90" t="s">
        <v>5434</v>
      </c>
      <c r="B2906" s="90" t="s">
        <v>5435</v>
      </c>
      <c r="C2906" s="90" t="s">
        <v>8</v>
      </c>
      <c r="D2906" s="90" t="str">
        <f>VLOOKUP(Tabela1[[#This Row],[Origem]],'Perguntas 1 a 24'!$J$28:$K$34,2,FALSE)</f>
        <v>Nordeste</v>
      </c>
      <c r="E2906" s="90" t="s">
        <v>14244</v>
      </c>
      <c r="F2906" s="91">
        <v>47241</v>
      </c>
      <c r="G2906" s="92">
        <v>97358</v>
      </c>
      <c r="H2906" s="90" t="s">
        <v>9</v>
      </c>
      <c r="I29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6" s="90" t="s">
        <v>5863</v>
      </c>
    </row>
    <row r="2907" spans="1:11">
      <c r="A2907" s="90" t="s">
        <v>5862</v>
      </c>
      <c r="B2907" s="90" t="s">
        <v>5863</v>
      </c>
      <c r="C2907" s="90" t="s">
        <v>16</v>
      </c>
      <c r="D2907" s="90" t="str">
        <f>VLOOKUP(Tabela1[[#This Row],[Origem]],'Perguntas 1 a 24'!$J$28:$K$34,2,FALSE)</f>
        <v>Sudeste</v>
      </c>
      <c r="E2907" s="90" t="s">
        <v>14245</v>
      </c>
      <c r="F2907" s="91">
        <v>47241</v>
      </c>
      <c r="G2907" s="92">
        <v>21810</v>
      </c>
      <c r="H2907" s="90" t="s">
        <v>11</v>
      </c>
      <c r="I29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7" s="90" t="s">
        <v>6471</v>
      </c>
    </row>
    <row r="2908" spans="1:11">
      <c r="A2908" s="90" t="s">
        <v>6470</v>
      </c>
      <c r="B2908" s="90" t="s">
        <v>6471</v>
      </c>
      <c r="C2908" s="90" t="s">
        <v>13</v>
      </c>
      <c r="D2908" s="90" t="str">
        <f>VLOOKUP(Tabela1[[#This Row],[Origem]],'Perguntas 1 a 24'!$J$28:$K$34,2,FALSE)</f>
        <v>Sudeste</v>
      </c>
      <c r="E2908" s="90" t="s">
        <v>14246</v>
      </c>
      <c r="F2908" s="91">
        <v>47241</v>
      </c>
      <c r="G2908" s="92">
        <v>101015</v>
      </c>
      <c r="H2908" s="90" t="s">
        <v>14</v>
      </c>
      <c r="I29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8" s="90" t="s">
        <v>8469</v>
      </c>
    </row>
    <row r="2909" spans="1:11">
      <c r="A2909" s="90" t="s">
        <v>8468</v>
      </c>
      <c r="B2909" s="90" t="s">
        <v>8469</v>
      </c>
      <c r="C2909" s="90" t="s">
        <v>8</v>
      </c>
      <c r="D2909" s="90" t="str">
        <f>VLOOKUP(Tabela1[[#This Row],[Origem]],'Perguntas 1 a 24'!$J$28:$K$34,2,FALSE)</f>
        <v>Nordeste</v>
      </c>
      <c r="E2909" s="90" t="s">
        <v>14247</v>
      </c>
      <c r="F2909" s="91">
        <v>47241</v>
      </c>
      <c r="G2909" s="92">
        <v>84816</v>
      </c>
      <c r="H2909" s="90" t="s">
        <v>9</v>
      </c>
      <c r="I29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09" s="90" t="s">
        <v>5407</v>
      </c>
    </row>
    <row r="2910" spans="1:11">
      <c r="A2910" s="90" t="s">
        <v>5406</v>
      </c>
      <c r="B2910" s="90" t="s">
        <v>5407</v>
      </c>
      <c r="C2910" s="90" t="s">
        <v>12</v>
      </c>
      <c r="D2910" s="90" t="str">
        <f>VLOOKUP(Tabela1[[#This Row],[Origem]],'Perguntas 1 a 24'!$J$28:$K$34,2,FALSE)</f>
        <v>Sudeste</v>
      </c>
      <c r="E2910" s="90" t="s">
        <v>14248</v>
      </c>
      <c r="F2910" s="91">
        <v>47244</v>
      </c>
      <c r="G2910" s="92">
        <v>92301</v>
      </c>
      <c r="H2910" s="90" t="s">
        <v>11</v>
      </c>
      <c r="I29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0" s="90" t="s">
        <v>9734</v>
      </c>
    </row>
    <row r="2911" spans="1:11">
      <c r="A2911" s="90" t="s">
        <v>9733</v>
      </c>
      <c r="B2911" s="90" t="s">
        <v>9734</v>
      </c>
      <c r="C2911" s="90" t="s">
        <v>13</v>
      </c>
      <c r="D2911" s="90" t="str">
        <f>VLOOKUP(Tabela1[[#This Row],[Origem]],'Perguntas 1 a 24'!$J$28:$K$34,2,FALSE)</f>
        <v>Sudeste</v>
      </c>
      <c r="E2911" s="90" t="s">
        <v>14249</v>
      </c>
      <c r="F2911" s="91">
        <v>47244</v>
      </c>
      <c r="G2911" s="92">
        <v>119945</v>
      </c>
      <c r="H2911" s="90" t="s">
        <v>11</v>
      </c>
      <c r="I29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1" s="90" t="s">
        <v>8550</v>
      </c>
    </row>
    <row r="2912" spans="1:11">
      <c r="A2912" s="90" t="s">
        <v>8549</v>
      </c>
      <c r="B2912" s="90" t="s">
        <v>8550</v>
      </c>
      <c r="C2912" s="90" t="s">
        <v>10</v>
      </c>
      <c r="D2912" s="90" t="str">
        <f>VLOOKUP(Tabela1[[#This Row],[Origem]],'Perguntas 1 a 24'!$J$28:$K$34,2,FALSE)</f>
        <v>Centro-Oeste</v>
      </c>
      <c r="E2912" s="90" t="s">
        <v>14250</v>
      </c>
      <c r="F2912" s="91">
        <v>47245</v>
      </c>
      <c r="G2912" s="92">
        <v>20952</v>
      </c>
      <c r="H2912" s="90" t="s">
        <v>9</v>
      </c>
      <c r="I29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2" s="90" t="s">
        <v>4729</v>
      </c>
    </row>
    <row r="2913" spans="1:11">
      <c r="A2913" s="90" t="s">
        <v>4728</v>
      </c>
      <c r="B2913" s="90" t="s">
        <v>4729</v>
      </c>
      <c r="C2913" s="90" t="s">
        <v>6</v>
      </c>
      <c r="D2913" s="90" t="str">
        <f>VLOOKUP(Tabela1[[#This Row],[Origem]],'Perguntas 1 a 24'!$J$28:$K$34,2,FALSE)</f>
        <v>Nordeste</v>
      </c>
      <c r="E2913" s="90" t="s">
        <v>14251</v>
      </c>
      <c r="F2913" s="91">
        <v>47247</v>
      </c>
      <c r="G2913" s="92">
        <v>102530</v>
      </c>
      <c r="H2913" s="90" t="s">
        <v>14</v>
      </c>
      <c r="I29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3" s="90" t="s">
        <v>6093</v>
      </c>
    </row>
    <row r="2914" spans="1:11">
      <c r="A2914" s="90" t="s">
        <v>6092</v>
      </c>
      <c r="B2914" s="90" t="s">
        <v>6093</v>
      </c>
      <c r="C2914" s="90" t="s">
        <v>8</v>
      </c>
      <c r="D2914" s="90" t="str">
        <f>VLOOKUP(Tabela1[[#This Row],[Origem]],'Perguntas 1 a 24'!$J$28:$K$34,2,FALSE)</f>
        <v>Nordeste</v>
      </c>
      <c r="E2914" s="90" t="s">
        <v>14252</v>
      </c>
      <c r="F2914" s="91">
        <v>47247</v>
      </c>
      <c r="G2914" s="92">
        <v>53530</v>
      </c>
      <c r="H2914" s="90" t="s">
        <v>11</v>
      </c>
      <c r="I29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4" s="90" t="s">
        <v>9650</v>
      </c>
    </row>
    <row r="2915" spans="1:11">
      <c r="A2915" s="90" t="s">
        <v>9649</v>
      </c>
      <c r="B2915" s="90" t="s">
        <v>9650</v>
      </c>
      <c r="C2915" s="90" t="s">
        <v>13</v>
      </c>
      <c r="D2915" s="90" t="str">
        <f>VLOOKUP(Tabela1[[#This Row],[Origem]],'Perguntas 1 a 24'!$J$28:$K$34,2,FALSE)</f>
        <v>Sudeste</v>
      </c>
      <c r="E2915" s="90" t="s">
        <v>14253</v>
      </c>
      <c r="F2915" s="91">
        <v>47247</v>
      </c>
      <c r="G2915" s="92">
        <v>81412</v>
      </c>
      <c r="H2915" s="90" t="s">
        <v>11</v>
      </c>
      <c r="I29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5" s="90" t="s">
        <v>5839</v>
      </c>
    </row>
    <row r="2916" spans="1:11">
      <c r="A2916" s="90" t="s">
        <v>5838</v>
      </c>
      <c r="B2916" s="90" t="s">
        <v>5839</v>
      </c>
      <c r="C2916" s="90" t="s">
        <v>12</v>
      </c>
      <c r="D2916" s="90" t="str">
        <f>VLOOKUP(Tabela1[[#This Row],[Origem]],'Perguntas 1 a 24'!$J$28:$K$34,2,FALSE)</f>
        <v>Sudeste</v>
      </c>
      <c r="E2916" s="90" t="s">
        <v>14254</v>
      </c>
      <c r="F2916" s="91">
        <v>47248</v>
      </c>
      <c r="G2916" s="92">
        <v>63989</v>
      </c>
      <c r="H2916" s="90" t="s">
        <v>9</v>
      </c>
      <c r="I29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6" s="90" t="s">
        <v>6927</v>
      </c>
    </row>
    <row r="2917" spans="1:11">
      <c r="A2917" s="90" t="s">
        <v>6926</v>
      </c>
      <c r="B2917" s="90" t="s">
        <v>6927</v>
      </c>
      <c r="C2917" s="90" t="s">
        <v>16</v>
      </c>
      <c r="D2917" s="90" t="str">
        <f>VLOOKUP(Tabela1[[#This Row],[Origem]],'Perguntas 1 a 24'!$J$28:$K$34,2,FALSE)</f>
        <v>Sudeste</v>
      </c>
      <c r="E2917" s="90" t="s">
        <v>14255</v>
      </c>
      <c r="F2917" s="91">
        <v>47248</v>
      </c>
      <c r="G2917" s="92">
        <v>62410</v>
      </c>
      <c r="H2917" s="90" t="s">
        <v>9</v>
      </c>
      <c r="I29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7" s="90" t="s">
        <v>5201</v>
      </c>
    </row>
    <row r="2918" spans="1:11">
      <c r="A2918" s="90" t="s">
        <v>5200</v>
      </c>
      <c r="B2918" s="90" t="s">
        <v>5201</v>
      </c>
      <c r="C2918" s="90" t="s">
        <v>16</v>
      </c>
      <c r="D2918" s="90" t="str">
        <f>VLOOKUP(Tabela1[[#This Row],[Origem]],'Perguntas 1 a 24'!$J$28:$K$34,2,FALSE)</f>
        <v>Sudeste</v>
      </c>
      <c r="E2918" s="90" t="s">
        <v>14256</v>
      </c>
      <c r="F2918" s="91">
        <v>47250</v>
      </c>
      <c r="G2918" s="92">
        <v>104747</v>
      </c>
      <c r="H2918" s="90" t="s">
        <v>7</v>
      </c>
      <c r="I29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8" s="90" t="s">
        <v>11128</v>
      </c>
    </row>
    <row r="2919" spans="1:11">
      <c r="A2919" s="90" t="s">
        <v>11127</v>
      </c>
      <c r="B2919" s="90" t="s">
        <v>11128</v>
      </c>
      <c r="C2919" s="90" t="s">
        <v>6</v>
      </c>
      <c r="D2919" s="90" t="str">
        <f>VLOOKUP(Tabela1[[#This Row],[Origem]],'Perguntas 1 a 24'!$J$28:$K$34,2,FALSE)</f>
        <v>Nordeste</v>
      </c>
      <c r="E2919" s="90" t="s">
        <v>14257</v>
      </c>
      <c r="F2919" s="91">
        <v>47250</v>
      </c>
      <c r="G2919" s="92">
        <v>33256</v>
      </c>
      <c r="H2919" s="90" t="s">
        <v>11</v>
      </c>
      <c r="I29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19" s="90" t="s">
        <v>11264</v>
      </c>
    </row>
    <row r="2920" spans="1:11">
      <c r="A2920" s="90" t="s">
        <v>11263</v>
      </c>
      <c r="B2920" s="90" t="s">
        <v>11264</v>
      </c>
      <c r="C2920" s="90" t="s">
        <v>12</v>
      </c>
      <c r="D2920" s="90" t="str">
        <f>VLOOKUP(Tabela1[[#This Row],[Origem]],'Perguntas 1 a 24'!$J$28:$K$34,2,FALSE)</f>
        <v>Sudeste</v>
      </c>
      <c r="E2920" s="90" t="s">
        <v>14258</v>
      </c>
      <c r="F2920" s="91">
        <v>47250</v>
      </c>
      <c r="G2920" s="92">
        <v>20763</v>
      </c>
      <c r="H2920" s="90" t="s">
        <v>11</v>
      </c>
      <c r="I29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0" s="90" t="s">
        <v>3791</v>
      </c>
    </row>
    <row r="2921" spans="1:11">
      <c r="A2921" s="90" t="s">
        <v>3790</v>
      </c>
      <c r="B2921" s="90" t="s">
        <v>3791</v>
      </c>
      <c r="C2921" s="90" t="s">
        <v>15</v>
      </c>
      <c r="D2921" s="90" t="str">
        <f>VLOOKUP(Tabela1[[#This Row],[Origem]],'Perguntas 1 a 24'!$J$28:$K$34,2,FALSE)</f>
        <v>Sudeste</v>
      </c>
      <c r="E2921" s="90" t="s">
        <v>14259</v>
      </c>
      <c r="F2921" s="91">
        <v>47251</v>
      </c>
      <c r="G2921" s="92">
        <v>114088</v>
      </c>
      <c r="H2921" s="90" t="s">
        <v>7</v>
      </c>
      <c r="I29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1" s="90" t="s">
        <v>4009</v>
      </c>
    </row>
    <row r="2922" spans="1:11">
      <c r="A2922" s="90" t="s">
        <v>4008</v>
      </c>
      <c r="B2922" s="90" t="s">
        <v>4009</v>
      </c>
      <c r="C2922" s="90" t="s">
        <v>6</v>
      </c>
      <c r="D2922" s="90" t="str">
        <f>VLOOKUP(Tabela1[[#This Row],[Origem]],'Perguntas 1 a 24'!$J$28:$K$34,2,FALSE)</f>
        <v>Nordeste</v>
      </c>
      <c r="E2922" s="90" t="s">
        <v>14260</v>
      </c>
      <c r="F2922" s="91">
        <v>47251</v>
      </c>
      <c r="G2922" s="92">
        <v>31762</v>
      </c>
      <c r="H2922" s="90" t="s">
        <v>11</v>
      </c>
      <c r="I29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2" s="90" t="s">
        <v>4659</v>
      </c>
    </row>
    <row r="2923" spans="1:11">
      <c r="A2923" s="90" t="s">
        <v>4658</v>
      </c>
      <c r="B2923" s="90" t="s">
        <v>4659</v>
      </c>
      <c r="C2923" s="90" t="s">
        <v>8</v>
      </c>
      <c r="D2923" s="90" t="str">
        <f>VLOOKUP(Tabela1[[#This Row],[Origem]],'Perguntas 1 a 24'!$J$28:$K$34,2,FALSE)</f>
        <v>Nordeste</v>
      </c>
      <c r="E2923" s="90" t="s">
        <v>14261</v>
      </c>
      <c r="F2923" s="91">
        <v>47251</v>
      </c>
      <c r="G2923" s="92">
        <v>40253</v>
      </c>
      <c r="H2923" s="90" t="s">
        <v>11</v>
      </c>
      <c r="I29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3" s="90" t="s">
        <v>7581</v>
      </c>
    </row>
    <row r="2924" spans="1:11">
      <c r="A2924" s="90" t="s">
        <v>7580</v>
      </c>
      <c r="B2924" s="90" t="s">
        <v>7581</v>
      </c>
      <c r="C2924" s="90" t="s">
        <v>10</v>
      </c>
      <c r="D2924" s="90" t="str">
        <f>VLOOKUP(Tabela1[[#This Row],[Origem]],'Perguntas 1 a 24'!$J$28:$K$34,2,FALSE)</f>
        <v>Centro-Oeste</v>
      </c>
      <c r="E2924" s="90" t="s">
        <v>14262</v>
      </c>
      <c r="F2924" s="91">
        <v>47251</v>
      </c>
      <c r="G2924" s="92">
        <v>78031</v>
      </c>
      <c r="H2924" s="90" t="s">
        <v>14</v>
      </c>
      <c r="I29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4" s="90" t="s">
        <v>8007</v>
      </c>
    </row>
    <row r="2925" spans="1:11">
      <c r="A2925" s="90" t="s">
        <v>8006</v>
      </c>
      <c r="B2925" s="90" t="s">
        <v>8007</v>
      </c>
      <c r="C2925" s="90" t="s">
        <v>15</v>
      </c>
      <c r="D2925" s="90" t="str">
        <f>VLOOKUP(Tabela1[[#This Row],[Origem]],'Perguntas 1 a 24'!$J$28:$K$34,2,FALSE)</f>
        <v>Sudeste</v>
      </c>
      <c r="E2925" s="90" t="s">
        <v>14263</v>
      </c>
      <c r="F2925" s="91">
        <v>47251</v>
      </c>
      <c r="G2925" s="92">
        <v>35105</v>
      </c>
      <c r="H2925" s="90" t="s">
        <v>14</v>
      </c>
      <c r="I29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5" s="90" t="s">
        <v>4855</v>
      </c>
    </row>
    <row r="2926" spans="1:11">
      <c r="A2926" s="90" t="s">
        <v>4854</v>
      </c>
      <c r="B2926" s="90" t="s">
        <v>4855</v>
      </c>
      <c r="C2926" s="90" t="s">
        <v>16</v>
      </c>
      <c r="D2926" s="90" t="str">
        <f>VLOOKUP(Tabela1[[#This Row],[Origem]],'Perguntas 1 a 24'!$J$28:$K$34,2,FALSE)</f>
        <v>Sudeste</v>
      </c>
      <c r="E2926" s="90" t="s">
        <v>14264</v>
      </c>
      <c r="F2926" s="91">
        <v>47252</v>
      </c>
      <c r="G2926" s="92">
        <v>47270</v>
      </c>
      <c r="H2926" s="90" t="s">
        <v>7</v>
      </c>
      <c r="I29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6" s="90" t="s">
        <v>3943</v>
      </c>
    </row>
    <row r="2927" spans="1:11">
      <c r="A2927" s="90" t="s">
        <v>3942</v>
      </c>
      <c r="B2927" s="90" t="s">
        <v>3943</v>
      </c>
      <c r="C2927" s="90" t="s">
        <v>15</v>
      </c>
      <c r="D2927" s="90" t="str">
        <f>VLOOKUP(Tabela1[[#This Row],[Origem]],'Perguntas 1 a 24'!$J$28:$K$34,2,FALSE)</f>
        <v>Sudeste</v>
      </c>
      <c r="E2927" s="90" t="s">
        <v>14265</v>
      </c>
      <c r="F2927" s="91">
        <v>47254</v>
      </c>
      <c r="G2927" s="92">
        <v>33396</v>
      </c>
      <c r="H2927" s="90" t="s">
        <v>9</v>
      </c>
      <c r="I29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7" s="90" t="s">
        <v>4999</v>
      </c>
    </row>
    <row r="2928" spans="1:11">
      <c r="A2928" s="90" t="s">
        <v>4998</v>
      </c>
      <c r="B2928" s="90" t="s">
        <v>4999</v>
      </c>
      <c r="C2928" s="90" t="s">
        <v>8</v>
      </c>
      <c r="D2928" s="90" t="str">
        <f>VLOOKUP(Tabela1[[#This Row],[Origem]],'Perguntas 1 a 24'!$J$28:$K$34,2,FALSE)</f>
        <v>Nordeste</v>
      </c>
      <c r="E2928" s="90" t="s">
        <v>14266</v>
      </c>
      <c r="F2928" s="91">
        <v>47254</v>
      </c>
      <c r="G2928" s="92">
        <v>107413</v>
      </c>
      <c r="H2928" s="90" t="s">
        <v>14</v>
      </c>
      <c r="I29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8" s="90" t="s">
        <v>6839</v>
      </c>
    </row>
    <row r="2929" spans="1:11">
      <c r="A2929" s="90" t="s">
        <v>6838</v>
      </c>
      <c r="B2929" s="90" t="s">
        <v>6839</v>
      </c>
      <c r="C2929" s="90" t="s">
        <v>12</v>
      </c>
      <c r="D2929" s="90" t="str">
        <f>VLOOKUP(Tabela1[[#This Row],[Origem]],'Perguntas 1 a 24'!$J$28:$K$34,2,FALSE)</f>
        <v>Sudeste</v>
      </c>
      <c r="E2929" s="90" t="s">
        <v>14267</v>
      </c>
      <c r="F2929" s="91">
        <v>47254</v>
      </c>
      <c r="G2929" s="92">
        <v>107071</v>
      </c>
      <c r="H2929" s="90" t="s">
        <v>14</v>
      </c>
      <c r="I29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29" s="90" t="s">
        <v>7245</v>
      </c>
    </row>
    <row r="2930" spans="1:11">
      <c r="A2930" s="90" t="s">
        <v>7244</v>
      </c>
      <c r="B2930" s="90" t="s">
        <v>7245</v>
      </c>
      <c r="C2930" s="90" t="s">
        <v>12</v>
      </c>
      <c r="D2930" s="90" t="str">
        <f>VLOOKUP(Tabela1[[#This Row],[Origem]],'Perguntas 1 a 24'!$J$28:$K$34,2,FALSE)</f>
        <v>Sudeste</v>
      </c>
      <c r="E2930" s="90" t="s">
        <v>14268</v>
      </c>
      <c r="F2930" s="91">
        <v>47254</v>
      </c>
      <c r="G2930" s="92">
        <v>72340</v>
      </c>
      <c r="H2930" s="90" t="s">
        <v>9</v>
      </c>
      <c r="I29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0" s="90" t="s">
        <v>11075</v>
      </c>
    </row>
    <row r="2931" spans="1:11">
      <c r="A2931" s="90" t="s">
        <v>11074</v>
      </c>
      <c r="B2931" s="90" t="s">
        <v>11075</v>
      </c>
      <c r="C2931" s="90" t="s">
        <v>8</v>
      </c>
      <c r="D2931" s="90" t="str">
        <f>VLOOKUP(Tabela1[[#This Row],[Origem]],'Perguntas 1 a 24'!$J$28:$K$34,2,FALSE)</f>
        <v>Nordeste</v>
      </c>
      <c r="E2931" s="90" t="s">
        <v>14269</v>
      </c>
      <c r="F2931" s="91">
        <v>47255</v>
      </c>
      <c r="G2931" s="92">
        <v>89253</v>
      </c>
      <c r="H2931" s="90" t="s">
        <v>7</v>
      </c>
      <c r="I29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1" s="90" t="s">
        <v>6275</v>
      </c>
    </row>
    <row r="2932" spans="1:11">
      <c r="A2932" s="90" t="s">
        <v>6274</v>
      </c>
      <c r="B2932" s="90" t="s">
        <v>6275</v>
      </c>
      <c r="C2932" s="90" t="s">
        <v>12</v>
      </c>
      <c r="D2932" s="90" t="str">
        <f>VLOOKUP(Tabela1[[#This Row],[Origem]],'Perguntas 1 a 24'!$J$28:$K$34,2,FALSE)</f>
        <v>Sudeste</v>
      </c>
      <c r="E2932" s="90" t="s">
        <v>14270</v>
      </c>
      <c r="F2932" s="91">
        <v>47256</v>
      </c>
      <c r="G2932" s="92">
        <v>71075</v>
      </c>
      <c r="H2932" s="90" t="s">
        <v>7</v>
      </c>
      <c r="I29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2" s="90" t="s">
        <v>6645</v>
      </c>
    </row>
    <row r="2933" spans="1:11">
      <c r="A2933" s="90" t="s">
        <v>6644</v>
      </c>
      <c r="B2933" s="90" t="s">
        <v>6645</v>
      </c>
      <c r="C2933" s="90" t="s">
        <v>10</v>
      </c>
      <c r="D2933" s="90" t="str">
        <f>VLOOKUP(Tabela1[[#This Row],[Origem]],'Perguntas 1 a 24'!$J$28:$K$34,2,FALSE)</f>
        <v>Centro-Oeste</v>
      </c>
      <c r="E2933" s="90" t="s">
        <v>14271</v>
      </c>
      <c r="F2933" s="91">
        <v>47256</v>
      </c>
      <c r="G2933" s="92">
        <v>28480</v>
      </c>
      <c r="H2933" s="90" t="s">
        <v>7</v>
      </c>
      <c r="I29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3" s="90" t="s">
        <v>5243</v>
      </c>
    </row>
    <row r="2934" spans="1:11">
      <c r="A2934" s="90" t="s">
        <v>5242</v>
      </c>
      <c r="B2934" s="90" t="s">
        <v>5243</v>
      </c>
      <c r="C2934" s="90" t="s">
        <v>13</v>
      </c>
      <c r="D2934" s="90" t="str">
        <f>VLOOKUP(Tabela1[[#This Row],[Origem]],'Perguntas 1 a 24'!$J$28:$K$34,2,FALSE)</f>
        <v>Sudeste</v>
      </c>
      <c r="E2934" s="90" t="s">
        <v>14272</v>
      </c>
      <c r="F2934" s="91">
        <v>47257</v>
      </c>
      <c r="G2934" s="92">
        <v>87342</v>
      </c>
      <c r="H2934" s="90" t="s">
        <v>11</v>
      </c>
      <c r="I29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4" s="90" t="s">
        <v>6363</v>
      </c>
    </row>
    <row r="2935" spans="1:11">
      <c r="A2935" s="90" t="s">
        <v>6362</v>
      </c>
      <c r="B2935" s="90" t="s">
        <v>6363</v>
      </c>
      <c r="C2935" s="90" t="s">
        <v>6</v>
      </c>
      <c r="D2935" s="90" t="str">
        <f>VLOOKUP(Tabela1[[#This Row],[Origem]],'Perguntas 1 a 24'!$J$28:$K$34,2,FALSE)</f>
        <v>Nordeste</v>
      </c>
      <c r="E2935" s="90" t="s">
        <v>14273</v>
      </c>
      <c r="F2935" s="91">
        <v>47258</v>
      </c>
      <c r="G2935" s="92">
        <v>56381</v>
      </c>
      <c r="H2935" s="90" t="s">
        <v>11</v>
      </c>
      <c r="I29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5" s="90" t="s">
        <v>6405</v>
      </c>
    </row>
    <row r="2936" spans="1:11">
      <c r="A2936" s="90" t="s">
        <v>6404</v>
      </c>
      <c r="B2936" s="90" t="s">
        <v>6405</v>
      </c>
      <c r="C2936" s="90" t="s">
        <v>15</v>
      </c>
      <c r="D2936" s="90" t="str">
        <f>VLOOKUP(Tabela1[[#This Row],[Origem]],'Perguntas 1 a 24'!$J$28:$K$34,2,FALSE)</f>
        <v>Sudeste</v>
      </c>
      <c r="E2936" s="90" t="s">
        <v>14274</v>
      </c>
      <c r="F2936" s="91">
        <v>47258</v>
      </c>
      <c r="G2936" s="92">
        <v>65674</v>
      </c>
      <c r="H2936" s="90" t="s">
        <v>9</v>
      </c>
      <c r="I29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6" s="90" t="s">
        <v>3719</v>
      </c>
    </row>
    <row r="2937" spans="1:11">
      <c r="A2937" s="90" t="s">
        <v>3718</v>
      </c>
      <c r="B2937" s="90" t="s">
        <v>3719</v>
      </c>
      <c r="C2937" s="90" t="s">
        <v>15</v>
      </c>
      <c r="D2937" s="90" t="str">
        <f>VLOOKUP(Tabela1[[#This Row],[Origem]],'Perguntas 1 a 24'!$J$28:$K$34,2,FALSE)</f>
        <v>Sudeste</v>
      </c>
      <c r="E2937" s="90" t="s">
        <v>14275</v>
      </c>
      <c r="F2937" s="91">
        <v>47259</v>
      </c>
      <c r="G2937" s="92">
        <v>84349</v>
      </c>
      <c r="H2937" s="90" t="s">
        <v>7</v>
      </c>
      <c r="I29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7" s="90" t="s">
        <v>5197</v>
      </c>
    </row>
    <row r="2938" spans="1:11">
      <c r="A2938" s="90" t="s">
        <v>5196</v>
      </c>
      <c r="B2938" s="90" t="s">
        <v>5197</v>
      </c>
      <c r="C2938" s="90" t="s">
        <v>13</v>
      </c>
      <c r="D2938" s="90" t="str">
        <f>VLOOKUP(Tabela1[[#This Row],[Origem]],'Perguntas 1 a 24'!$J$28:$K$34,2,FALSE)</f>
        <v>Sudeste</v>
      </c>
      <c r="E2938" s="90" t="s">
        <v>14276</v>
      </c>
      <c r="F2938" s="91">
        <v>47259</v>
      </c>
      <c r="G2938" s="92">
        <v>67706</v>
      </c>
      <c r="H2938" s="90" t="s">
        <v>7</v>
      </c>
      <c r="I29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8" s="90" t="s">
        <v>5363</v>
      </c>
    </row>
    <row r="2939" spans="1:11">
      <c r="A2939" s="90" t="s">
        <v>5362</v>
      </c>
      <c r="B2939" s="90" t="s">
        <v>5363</v>
      </c>
      <c r="C2939" s="90" t="s">
        <v>10</v>
      </c>
      <c r="D2939" s="90" t="str">
        <f>VLOOKUP(Tabela1[[#This Row],[Origem]],'Perguntas 1 a 24'!$J$28:$K$34,2,FALSE)</f>
        <v>Centro-Oeste</v>
      </c>
      <c r="E2939" s="90" t="s">
        <v>14277</v>
      </c>
      <c r="F2939" s="91">
        <v>47259</v>
      </c>
      <c r="G2939" s="92">
        <v>23907</v>
      </c>
      <c r="H2939" s="90" t="s">
        <v>9</v>
      </c>
      <c r="I29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39" s="90" t="s">
        <v>6313</v>
      </c>
    </row>
    <row r="2940" spans="1:11">
      <c r="A2940" s="90" t="s">
        <v>6312</v>
      </c>
      <c r="B2940" s="90" t="s">
        <v>6313</v>
      </c>
      <c r="C2940" s="90" t="s">
        <v>15</v>
      </c>
      <c r="D2940" s="90" t="str">
        <f>VLOOKUP(Tabela1[[#This Row],[Origem]],'Perguntas 1 a 24'!$J$28:$K$34,2,FALSE)</f>
        <v>Sudeste</v>
      </c>
      <c r="E2940" s="90" t="s">
        <v>14278</v>
      </c>
      <c r="F2940" s="91">
        <v>47261</v>
      </c>
      <c r="G2940" s="92">
        <v>69010</v>
      </c>
      <c r="H2940" s="90" t="s">
        <v>9</v>
      </c>
      <c r="I29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0" s="90" t="s">
        <v>4851</v>
      </c>
    </row>
    <row r="2941" spans="1:11">
      <c r="A2941" s="90" t="s">
        <v>4850</v>
      </c>
      <c r="B2941" s="90" t="s">
        <v>4851</v>
      </c>
      <c r="C2941" s="90" t="s">
        <v>16</v>
      </c>
      <c r="D2941" s="90" t="str">
        <f>VLOOKUP(Tabela1[[#This Row],[Origem]],'Perguntas 1 a 24'!$J$28:$K$34,2,FALSE)</f>
        <v>Sudeste</v>
      </c>
      <c r="E2941" s="90" t="s">
        <v>14279</v>
      </c>
      <c r="F2941" s="91">
        <v>47262</v>
      </c>
      <c r="G2941" s="92">
        <v>71635</v>
      </c>
      <c r="H2941" s="90" t="s">
        <v>14</v>
      </c>
      <c r="I29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1" s="90" t="s">
        <v>6125</v>
      </c>
    </row>
    <row r="2942" spans="1:11">
      <c r="A2942" s="90" t="s">
        <v>6124</v>
      </c>
      <c r="B2942" s="90" t="s">
        <v>6125</v>
      </c>
      <c r="C2942" s="90" t="s">
        <v>8</v>
      </c>
      <c r="D2942" s="90" t="str">
        <f>VLOOKUP(Tabela1[[#This Row],[Origem]],'Perguntas 1 a 24'!$J$28:$K$34,2,FALSE)</f>
        <v>Nordeste</v>
      </c>
      <c r="E2942" s="90" t="s">
        <v>14280</v>
      </c>
      <c r="F2942" s="91">
        <v>47262</v>
      </c>
      <c r="G2942" s="92">
        <v>81948</v>
      </c>
      <c r="H2942" s="90" t="s">
        <v>11</v>
      </c>
      <c r="I29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2" s="90" t="s">
        <v>7617</v>
      </c>
    </row>
    <row r="2943" spans="1:11">
      <c r="A2943" s="90" t="s">
        <v>7616</v>
      </c>
      <c r="B2943" s="90" t="s">
        <v>7617</v>
      </c>
      <c r="C2943" s="90" t="s">
        <v>16</v>
      </c>
      <c r="D2943" s="90" t="str">
        <f>VLOOKUP(Tabela1[[#This Row],[Origem]],'Perguntas 1 a 24'!$J$28:$K$34,2,FALSE)</f>
        <v>Sudeste</v>
      </c>
      <c r="E2943" s="90" t="s">
        <v>14281</v>
      </c>
      <c r="F2943" s="91">
        <v>47262</v>
      </c>
      <c r="G2943" s="92">
        <v>26238</v>
      </c>
      <c r="H2943" s="90" t="s">
        <v>7</v>
      </c>
      <c r="I29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3" s="90" t="s">
        <v>9284</v>
      </c>
    </row>
    <row r="2944" spans="1:11">
      <c r="A2944" s="90" t="s">
        <v>9283</v>
      </c>
      <c r="B2944" s="90" t="s">
        <v>9284</v>
      </c>
      <c r="C2944" s="90" t="s">
        <v>12</v>
      </c>
      <c r="D2944" s="90" t="str">
        <f>VLOOKUP(Tabela1[[#This Row],[Origem]],'Perguntas 1 a 24'!$J$28:$K$34,2,FALSE)</f>
        <v>Sudeste</v>
      </c>
      <c r="E2944" s="90" t="s">
        <v>14282</v>
      </c>
      <c r="F2944" s="91">
        <v>47262</v>
      </c>
      <c r="G2944" s="92">
        <v>56322</v>
      </c>
      <c r="H2944" s="90" t="s">
        <v>9</v>
      </c>
      <c r="I29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4" s="90" t="s">
        <v>10686</v>
      </c>
    </row>
    <row r="2945" spans="1:11">
      <c r="A2945" s="90" t="s">
        <v>10685</v>
      </c>
      <c r="B2945" s="90" t="s">
        <v>10686</v>
      </c>
      <c r="C2945" s="90" t="s">
        <v>12</v>
      </c>
      <c r="D2945" s="90" t="str">
        <f>VLOOKUP(Tabela1[[#This Row],[Origem]],'Perguntas 1 a 24'!$J$28:$K$34,2,FALSE)</f>
        <v>Sudeste</v>
      </c>
      <c r="E2945" s="90" t="s">
        <v>14283</v>
      </c>
      <c r="F2945" s="91">
        <v>47262</v>
      </c>
      <c r="G2945" s="92">
        <v>86874</v>
      </c>
      <c r="H2945" s="90" t="s">
        <v>14</v>
      </c>
      <c r="I29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5" s="90" t="s">
        <v>6397</v>
      </c>
    </row>
    <row r="2946" spans="1:11">
      <c r="A2946" s="90" t="s">
        <v>6396</v>
      </c>
      <c r="B2946" s="90" t="s">
        <v>6397</v>
      </c>
      <c r="C2946" s="90" t="s">
        <v>13</v>
      </c>
      <c r="D2946" s="90" t="str">
        <f>VLOOKUP(Tabela1[[#This Row],[Origem]],'Perguntas 1 a 24'!$J$28:$K$34,2,FALSE)</f>
        <v>Sudeste</v>
      </c>
      <c r="E2946" s="90" t="s">
        <v>14284</v>
      </c>
      <c r="F2946" s="91">
        <v>47264</v>
      </c>
      <c r="G2946" s="92">
        <v>102442</v>
      </c>
      <c r="H2946" s="90" t="s">
        <v>9</v>
      </c>
      <c r="I29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6" s="90" t="s">
        <v>7645</v>
      </c>
    </row>
    <row r="2947" spans="1:11">
      <c r="A2947" s="90" t="s">
        <v>7644</v>
      </c>
      <c r="B2947" s="90" t="s">
        <v>7645</v>
      </c>
      <c r="C2947" s="90" t="s">
        <v>16</v>
      </c>
      <c r="D2947" s="90" t="str">
        <f>VLOOKUP(Tabela1[[#This Row],[Origem]],'Perguntas 1 a 24'!$J$28:$K$34,2,FALSE)</f>
        <v>Sudeste</v>
      </c>
      <c r="E2947" s="90" t="s">
        <v>14285</v>
      </c>
      <c r="F2947" s="91">
        <v>47264</v>
      </c>
      <c r="G2947" s="92">
        <v>77094</v>
      </c>
      <c r="H2947" s="90" t="s">
        <v>7</v>
      </c>
      <c r="I29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7" s="90" t="s">
        <v>5519</v>
      </c>
    </row>
    <row r="2948" spans="1:11">
      <c r="A2948" s="90" t="s">
        <v>5518</v>
      </c>
      <c r="B2948" s="90" t="s">
        <v>5519</v>
      </c>
      <c r="C2948" s="90" t="s">
        <v>12</v>
      </c>
      <c r="D2948" s="90" t="str">
        <f>VLOOKUP(Tabela1[[#This Row],[Origem]],'Perguntas 1 a 24'!$J$28:$K$34,2,FALSE)</f>
        <v>Sudeste</v>
      </c>
      <c r="E2948" s="90" t="s">
        <v>14286</v>
      </c>
      <c r="F2948" s="91">
        <v>47265</v>
      </c>
      <c r="G2948" s="92">
        <v>96859</v>
      </c>
      <c r="H2948" s="90" t="s">
        <v>9</v>
      </c>
      <c r="I29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8" s="90" t="s">
        <v>9990</v>
      </c>
    </row>
    <row r="2949" spans="1:11">
      <c r="A2949" s="90" t="s">
        <v>9989</v>
      </c>
      <c r="B2949" s="90" t="s">
        <v>9990</v>
      </c>
      <c r="C2949" s="90" t="s">
        <v>15</v>
      </c>
      <c r="D2949" s="90" t="str">
        <f>VLOOKUP(Tabela1[[#This Row],[Origem]],'Perguntas 1 a 24'!$J$28:$K$34,2,FALSE)</f>
        <v>Sudeste</v>
      </c>
      <c r="E2949" s="90" t="s">
        <v>14287</v>
      </c>
      <c r="F2949" s="91">
        <v>47265</v>
      </c>
      <c r="G2949" s="92">
        <v>77899</v>
      </c>
      <c r="H2949" s="90" t="s">
        <v>14</v>
      </c>
      <c r="I29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49" s="90" t="s">
        <v>8998</v>
      </c>
    </row>
    <row r="2950" spans="1:11">
      <c r="A2950" s="90" t="s">
        <v>8997</v>
      </c>
      <c r="B2950" s="90" t="s">
        <v>8998</v>
      </c>
      <c r="C2950" s="90" t="s">
        <v>10</v>
      </c>
      <c r="D2950" s="90" t="str">
        <f>VLOOKUP(Tabela1[[#This Row],[Origem]],'Perguntas 1 a 24'!$J$28:$K$34,2,FALSE)</f>
        <v>Centro-Oeste</v>
      </c>
      <c r="E2950" s="90" t="s">
        <v>14288</v>
      </c>
      <c r="F2950" s="91">
        <v>47266</v>
      </c>
      <c r="G2950" s="92">
        <v>43020</v>
      </c>
      <c r="H2950" s="90" t="s">
        <v>14</v>
      </c>
      <c r="I29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0" s="90" t="s">
        <v>10816</v>
      </c>
    </row>
    <row r="2951" spans="1:11">
      <c r="A2951" s="90" t="s">
        <v>10815</v>
      </c>
      <c r="B2951" s="90" t="s">
        <v>10816</v>
      </c>
      <c r="C2951" s="90" t="s">
        <v>13</v>
      </c>
      <c r="D2951" s="90" t="str">
        <f>VLOOKUP(Tabela1[[#This Row],[Origem]],'Perguntas 1 a 24'!$J$28:$K$34,2,FALSE)</f>
        <v>Sudeste</v>
      </c>
      <c r="E2951" s="90" t="s">
        <v>14289</v>
      </c>
      <c r="F2951" s="91">
        <v>47266</v>
      </c>
      <c r="G2951" s="92">
        <v>102602</v>
      </c>
      <c r="H2951" s="90" t="s">
        <v>11</v>
      </c>
      <c r="I29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1" s="90" t="s">
        <v>7917</v>
      </c>
    </row>
    <row r="2952" spans="1:11">
      <c r="A2952" s="90" t="s">
        <v>7916</v>
      </c>
      <c r="B2952" s="90" t="s">
        <v>7917</v>
      </c>
      <c r="C2952" s="90" t="s">
        <v>15</v>
      </c>
      <c r="D2952" s="90" t="str">
        <f>VLOOKUP(Tabela1[[#This Row],[Origem]],'Perguntas 1 a 24'!$J$28:$K$34,2,FALSE)</f>
        <v>Sudeste</v>
      </c>
      <c r="E2952" s="90" t="s">
        <v>14290</v>
      </c>
      <c r="F2952" s="91">
        <v>47267</v>
      </c>
      <c r="G2952" s="92">
        <v>91322</v>
      </c>
      <c r="H2952" s="90" t="s">
        <v>9</v>
      </c>
      <c r="I29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2" s="90" t="s">
        <v>8159</v>
      </c>
    </row>
    <row r="2953" spans="1:11">
      <c r="A2953" s="90" t="s">
        <v>8158</v>
      </c>
      <c r="B2953" s="90" t="s">
        <v>8159</v>
      </c>
      <c r="C2953" s="90" t="s">
        <v>12</v>
      </c>
      <c r="D2953" s="90" t="str">
        <f>VLOOKUP(Tabela1[[#This Row],[Origem]],'Perguntas 1 a 24'!$J$28:$K$34,2,FALSE)</f>
        <v>Sudeste</v>
      </c>
      <c r="E2953" s="90" t="s">
        <v>14291</v>
      </c>
      <c r="F2953" s="91">
        <v>47269</v>
      </c>
      <c r="G2953" s="92">
        <v>89130</v>
      </c>
      <c r="H2953" s="90" t="s">
        <v>11</v>
      </c>
      <c r="I29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3" s="90" t="s">
        <v>6083</v>
      </c>
    </row>
    <row r="2954" spans="1:11">
      <c r="A2954" s="90" t="s">
        <v>6082</v>
      </c>
      <c r="B2954" s="90" t="s">
        <v>6083</v>
      </c>
      <c r="C2954" s="90" t="s">
        <v>16</v>
      </c>
      <c r="D2954" s="90" t="str">
        <f>VLOOKUP(Tabela1[[#This Row],[Origem]],'Perguntas 1 a 24'!$J$28:$K$34,2,FALSE)</f>
        <v>Sudeste</v>
      </c>
      <c r="E2954" s="90" t="s">
        <v>14292</v>
      </c>
      <c r="F2954" s="91">
        <v>47270</v>
      </c>
      <c r="G2954" s="92">
        <v>32770</v>
      </c>
      <c r="H2954" s="90" t="s">
        <v>9</v>
      </c>
      <c r="I29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4" s="90" t="s">
        <v>8149</v>
      </c>
    </row>
    <row r="2955" spans="1:11">
      <c r="A2955" s="90" t="s">
        <v>8148</v>
      </c>
      <c r="B2955" s="90" t="s">
        <v>8149</v>
      </c>
      <c r="C2955" s="90" t="s">
        <v>16</v>
      </c>
      <c r="D2955" s="90" t="str">
        <f>VLOOKUP(Tabela1[[#This Row],[Origem]],'Perguntas 1 a 24'!$J$28:$K$34,2,FALSE)</f>
        <v>Sudeste</v>
      </c>
      <c r="E2955" s="90" t="s">
        <v>14293</v>
      </c>
      <c r="F2955" s="91">
        <v>47271</v>
      </c>
      <c r="G2955" s="92">
        <v>95927</v>
      </c>
      <c r="H2955" s="90" t="s">
        <v>7</v>
      </c>
      <c r="I29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5" s="90" t="s">
        <v>6215</v>
      </c>
    </row>
    <row r="2956" spans="1:11">
      <c r="A2956" s="90" t="s">
        <v>6214</v>
      </c>
      <c r="B2956" s="90" t="s">
        <v>6215</v>
      </c>
      <c r="C2956" s="90" t="s">
        <v>16</v>
      </c>
      <c r="D2956" s="90" t="str">
        <f>VLOOKUP(Tabela1[[#This Row],[Origem]],'Perguntas 1 a 24'!$J$28:$K$34,2,FALSE)</f>
        <v>Sudeste</v>
      </c>
      <c r="E2956" s="90" t="s">
        <v>14294</v>
      </c>
      <c r="F2956" s="91">
        <v>47272</v>
      </c>
      <c r="G2956" s="92">
        <v>37622</v>
      </c>
      <c r="H2956" s="90" t="s">
        <v>9</v>
      </c>
      <c r="I29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6" s="90" t="s">
        <v>8171</v>
      </c>
    </row>
    <row r="2957" spans="1:11">
      <c r="A2957" s="90" t="s">
        <v>8170</v>
      </c>
      <c r="B2957" s="90" t="s">
        <v>8171</v>
      </c>
      <c r="C2957" s="90" t="s">
        <v>13</v>
      </c>
      <c r="D2957" s="90" t="str">
        <f>VLOOKUP(Tabela1[[#This Row],[Origem]],'Perguntas 1 a 24'!$J$28:$K$34,2,FALSE)</f>
        <v>Sudeste</v>
      </c>
      <c r="E2957" s="90" t="s">
        <v>14295</v>
      </c>
      <c r="F2957" s="91">
        <v>47272</v>
      </c>
      <c r="G2957" s="92">
        <v>80093</v>
      </c>
      <c r="H2957" s="90" t="s">
        <v>7</v>
      </c>
      <c r="I29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7" s="90" t="s">
        <v>8347</v>
      </c>
    </row>
    <row r="2958" spans="1:11">
      <c r="A2958" s="90" t="s">
        <v>8346</v>
      </c>
      <c r="B2958" s="90" t="s">
        <v>8347</v>
      </c>
      <c r="C2958" s="90" t="s">
        <v>10</v>
      </c>
      <c r="D2958" s="90" t="str">
        <f>VLOOKUP(Tabela1[[#This Row],[Origem]],'Perguntas 1 a 24'!$J$28:$K$34,2,FALSE)</f>
        <v>Centro-Oeste</v>
      </c>
      <c r="E2958" s="90" t="s">
        <v>14296</v>
      </c>
      <c r="F2958" s="91">
        <v>47272</v>
      </c>
      <c r="G2958" s="92">
        <v>43989</v>
      </c>
      <c r="H2958" s="90" t="s">
        <v>9</v>
      </c>
      <c r="I29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8" s="90" t="s">
        <v>10666</v>
      </c>
    </row>
    <row r="2959" spans="1:11">
      <c r="A2959" s="90" t="s">
        <v>10665</v>
      </c>
      <c r="B2959" s="90" t="s">
        <v>10666</v>
      </c>
      <c r="C2959" s="90" t="s">
        <v>6</v>
      </c>
      <c r="D2959" s="90" t="str">
        <f>VLOOKUP(Tabela1[[#This Row],[Origem]],'Perguntas 1 a 24'!$J$28:$K$34,2,FALSE)</f>
        <v>Nordeste</v>
      </c>
      <c r="E2959" s="90" t="s">
        <v>14297</v>
      </c>
      <c r="F2959" s="91">
        <v>47272</v>
      </c>
      <c r="G2959" s="92">
        <v>101069</v>
      </c>
      <c r="H2959" s="90" t="s">
        <v>11</v>
      </c>
      <c r="I29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59" s="90" t="s">
        <v>7339</v>
      </c>
    </row>
    <row r="2960" spans="1:11">
      <c r="A2960" s="90" t="s">
        <v>7338</v>
      </c>
      <c r="B2960" s="90" t="s">
        <v>7339</v>
      </c>
      <c r="C2960" s="90" t="s">
        <v>15</v>
      </c>
      <c r="D2960" s="90" t="str">
        <f>VLOOKUP(Tabela1[[#This Row],[Origem]],'Perguntas 1 a 24'!$J$28:$K$34,2,FALSE)</f>
        <v>Sudeste</v>
      </c>
      <c r="E2960" s="90" t="s">
        <v>14298</v>
      </c>
      <c r="F2960" s="91">
        <v>47274</v>
      </c>
      <c r="G2960" s="92">
        <v>85190</v>
      </c>
      <c r="H2960" s="90" t="s">
        <v>7</v>
      </c>
      <c r="I29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0" s="90" t="s">
        <v>8792</v>
      </c>
    </row>
    <row r="2961" spans="1:11">
      <c r="A2961" s="90" t="s">
        <v>8791</v>
      </c>
      <c r="B2961" s="90" t="s">
        <v>8792</v>
      </c>
      <c r="C2961" s="90" t="s">
        <v>6</v>
      </c>
      <c r="D2961" s="90" t="str">
        <f>VLOOKUP(Tabela1[[#This Row],[Origem]],'Perguntas 1 a 24'!$J$28:$K$34,2,FALSE)</f>
        <v>Nordeste</v>
      </c>
      <c r="E2961" s="90" t="s">
        <v>14299</v>
      </c>
      <c r="F2961" s="91">
        <v>47276</v>
      </c>
      <c r="G2961" s="92">
        <v>39451</v>
      </c>
      <c r="H2961" s="90" t="s">
        <v>9</v>
      </c>
      <c r="I29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1" s="90" t="s">
        <v>10000</v>
      </c>
    </row>
    <row r="2962" spans="1:11">
      <c r="A2962" s="90" t="s">
        <v>9999</v>
      </c>
      <c r="B2962" s="90" t="s">
        <v>10000</v>
      </c>
      <c r="C2962" s="90" t="s">
        <v>6</v>
      </c>
      <c r="D2962" s="90" t="str">
        <f>VLOOKUP(Tabela1[[#This Row],[Origem]],'Perguntas 1 a 24'!$J$28:$K$34,2,FALSE)</f>
        <v>Nordeste</v>
      </c>
      <c r="E2962" s="90" t="s">
        <v>14300</v>
      </c>
      <c r="F2962" s="91">
        <v>47276</v>
      </c>
      <c r="G2962" s="92">
        <v>32236</v>
      </c>
      <c r="H2962" s="90" t="s">
        <v>14</v>
      </c>
      <c r="I29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2" s="90" t="s">
        <v>4769</v>
      </c>
    </row>
    <row r="2963" spans="1:11">
      <c r="A2963" s="90" t="s">
        <v>4768</v>
      </c>
      <c r="B2963" s="90" t="s">
        <v>4769</v>
      </c>
      <c r="C2963" s="90" t="s">
        <v>6</v>
      </c>
      <c r="D2963" s="90" t="str">
        <f>VLOOKUP(Tabela1[[#This Row],[Origem]],'Perguntas 1 a 24'!$J$28:$K$34,2,FALSE)</f>
        <v>Nordeste</v>
      </c>
      <c r="E2963" s="90" t="s">
        <v>14301</v>
      </c>
      <c r="F2963" s="91">
        <v>47278</v>
      </c>
      <c r="G2963" s="92">
        <v>103354</v>
      </c>
      <c r="H2963" s="90" t="s">
        <v>14</v>
      </c>
      <c r="I29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3" s="90" t="s">
        <v>8313</v>
      </c>
    </row>
    <row r="2964" spans="1:11">
      <c r="A2964" s="90" t="s">
        <v>8312</v>
      </c>
      <c r="B2964" s="90" t="s">
        <v>8313</v>
      </c>
      <c r="C2964" s="90" t="s">
        <v>8</v>
      </c>
      <c r="D2964" s="90" t="str">
        <f>VLOOKUP(Tabela1[[#This Row],[Origem]],'Perguntas 1 a 24'!$J$28:$K$34,2,FALSE)</f>
        <v>Nordeste</v>
      </c>
      <c r="E2964" s="90" t="s">
        <v>14302</v>
      </c>
      <c r="F2964" s="91">
        <v>47278</v>
      </c>
      <c r="G2964" s="92">
        <v>92915</v>
      </c>
      <c r="H2964" s="90" t="s">
        <v>7</v>
      </c>
      <c r="I29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4" s="90" t="s">
        <v>8774</v>
      </c>
    </row>
    <row r="2965" spans="1:11">
      <c r="A2965" s="90" t="s">
        <v>8773</v>
      </c>
      <c r="B2965" s="90" t="s">
        <v>8774</v>
      </c>
      <c r="C2965" s="90" t="s">
        <v>15</v>
      </c>
      <c r="D2965" s="90" t="str">
        <f>VLOOKUP(Tabela1[[#This Row],[Origem]],'Perguntas 1 a 24'!$J$28:$K$34,2,FALSE)</f>
        <v>Sudeste</v>
      </c>
      <c r="E2965" s="90" t="s">
        <v>14303</v>
      </c>
      <c r="F2965" s="91">
        <v>47279</v>
      </c>
      <c r="G2965" s="92">
        <v>73583</v>
      </c>
      <c r="H2965" s="90" t="s">
        <v>11</v>
      </c>
      <c r="I29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5" s="90" t="s">
        <v>10504</v>
      </c>
    </row>
    <row r="2966" spans="1:11">
      <c r="A2966" s="90" t="s">
        <v>10503</v>
      </c>
      <c r="B2966" s="90" t="s">
        <v>10504</v>
      </c>
      <c r="C2966" s="90" t="s">
        <v>10</v>
      </c>
      <c r="D2966" s="90" t="str">
        <f>VLOOKUP(Tabela1[[#This Row],[Origem]],'Perguntas 1 a 24'!$J$28:$K$34,2,FALSE)</f>
        <v>Centro-Oeste</v>
      </c>
      <c r="E2966" s="90" t="s">
        <v>14304</v>
      </c>
      <c r="F2966" s="91">
        <v>47279</v>
      </c>
      <c r="G2966" s="92">
        <v>58296</v>
      </c>
      <c r="H2966" s="90" t="s">
        <v>14</v>
      </c>
      <c r="I29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6" s="90" t="s">
        <v>11178</v>
      </c>
    </row>
    <row r="2967" spans="1:11">
      <c r="A2967" s="90" t="s">
        <v>11177</v>
      </c>
      <c r="B2967" s="90" t="s">
        <v>11178</v>
      </c>
      <c r="C2967" s="90" t="s">
        <v>6</v>
      </c>
      <c r="D2967" s="90" t="str">
        <f>VLOOKUP(Tabela1[[#This Row],[Origem]],'Perguntas 1 a 24'!$J$28:$K$34,2,FALSE)</f>
        <v>Nordeste</v>
      </c>
      <c r="E2967" s="90" t="s">
        <v>14305</v>
      </c>
      <c r="F2967" s="91">
        <v>47279</v>
      </c>
      <c r="G2967" s="92">
        <v>62621</v>
      </c>
      <c r="H2967" s="90" t="s">
        <v>9</v>
      </c>
      <c r="I29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7" s="90" t="s">
        <v>9352</v>
      </c>
    </row>
    <row r="2968" spans="1:11">
      <c r="A2968" s="90" t="s">
        <v>9351</v>
      </c>
      <c r="B2968" s="90" t="s">
        <v>9352</v>
      </c>
      <c r="C2968" s="90" t="s">
        <v>10</v>
      </c>
      <c r="D2968" s="90" t="str">
        <f>VLOOKUP(Tabela1[[#This Row],[Origem]],'Perguntas 1 a 24'!$J$28:$K$34,2,FALSE)</f>
        <v>Centro-Oeste</v>
      </c>
      <c r="E2968" s="90" t="s">
        <v>14306</v>
      </c>
      <c r="F2968" s="91">
        <v>47280</v>
      </c>
      <c r="G2968" s="92">
        <v>30772</v>
      </c>
      <c r="H2968" s="90" t="s">
        <v>7</v>
      </c>
      <c r="I29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8" s="90" t="s">
        <v>4827</v>
      </c>
    </row>
    <row r="2969" spans="1:11">
      <c r="A2969" s="90" t="s">
        <v>4826</v>
      </c>
      <c r="B2969" s="90" t="s">
        <v>4827</v>
      </c>
      <c r="C2969" s="90" t="s">
        <v>13</v>
      </c>
      <c r="D2969" s="90" t="str">
        <f>VLOOKUP(Tabela1[[#This Row],[Origem]],'Perguntas 1 a 24'!$J$28:$K$34,2,FALSE)</f>
        <v>Sudeste</v>
      </c>
      <c r="E2969" s="90" t="s">
        <v>14307</v>
      </c>
      <c r="F2969" s="91">
        <v>47281</v>
      </c>
      <c r="G2969" s="92">
        <v>93839</v>
      </c>
      <c r="H2969" s="90" t="s">
        <v>14</v>
      </c>
      <c r="I29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69" s="90" t="s">
        <v>5467</v>
      </c>
    </row>
    <row r="2970" spans="1:11">
      <c r="A2970" s="90" t="s">
        <v>5466</v>
      </c>
      <c r="B2970" s="90" t="s">
        <v>5467</v>
      </c>
      <c r="C2970" s="90" t="s">
        <v>8</v>
      </c>
      <c r="D2970" s="90" t="str">
        <f>VLOOKUP(Tabela1[[#This Row],[Origem]],'Perguntas 1 a 24'!$J$28:$K$34,2,FALSE)</f>
        <v>Nordeste</v>
      </c>
      <c r="E2970" s="90" t="s">
        <v>14308</v>
      </c>
      <c r="F2970" s="91">
        <v>47281</v>
      </c>
      <c r="G2970" s="92">
        <v>60425</v>
      </c>
      <c r="H2970" s="90" t="s">
        <v>11</v>
      </c>
      <c r="I29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0" s="90" t="s">
        <v>5177</v>
      </c>
    </row>
    <row r="2971" spans="1:11">
      <c r="A2971" s="90" t="s">
        <v>5176</v>
      </c>
      <c r="B2971" s="90" t="s">
        <v>5177</v>
      </c>
      <c r="C2971" s="90" t="s">
        <v>8</v>
      </c>
      <c r="D2971" s="90" t="str">
        <f>VLOOKUP(Tabela1[[#This Row],[Origem]],'Perguntas 1 a 24'!$J$28:$K$34,2,FALSE)</f>
        <v>Nordeste</v>
      </c>
      <c r="E2971" s="90" t="s">
        <v>14309</v>
      </c>
      <c r="F2971" s="91">
        <v>47282</v>
      </c>
      <c r="G2971" s="92">
        <v>105023</v>
      </c>
      <c r="H2971" s="90" t="s">
        <v>7</v>
      </c>
      <c r="I29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1" s="90" t="s">
        <v>5553</v>
      </c>
    </row>
    <row r="2972" spans="1:11">
      <c r="A2972" s="90" t="s">
        <v>5552</v>
      </c>
      <c r="B2972" s="90" t="s">
        <v>5553</v>
      </c>
      <c r="C2972" s="90" t="s">
        <v>6</v>
      </c>
      <c r="D2972" s="90" t="str">
        <f>VLOOKUP(Tabela1[[#This Row],[Origem]],'Perguntas 1 a 24'!$J$28:$K$34,2,FALSE)</f>
        <v>Nordeste</v>
      </c>
      <c r="E2972" s="90" t="s">
        <v>14310</v>
      </c>
      <c r="F2972" s="91">
        <v>47282</v>
      </c>
      <c r="G2972" s="92">
        <v>119325</v>
      </c>
      <c r="H2972" s="90" t="s">
        <v>9</v>
      </c>
      <c r="I29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2" s="90" t="s">
        <v>8073</v>
      </c>
    </row>
    <row r="2973" spans="1:11">
      <c r="A2973" s="90" t="s">
        <v>8072</v>
      </c>
      <c r="B2973" s="90" t="s">
        <v>8073</v>
      </c>
      <c r="C2973" s="90" t="s">
        <v>13</v>
      </c>
      <c r="D2973" s="90" t="str">
        <f>VLOOKUP(Tabela1[[#This Row],[Origem]],'Perguntas 1 a 24'!$J$28:$K$34,2,FALSE)</f>
        <v>Sudeste</v>
      </c>
      <c r="E2973" s="90" t="s">
        <v>14311</v>
      </c>
      <c r="F2973" s="91">
        <v>47282</v>
      </c>
      <c r="G2973" s="92">
        <v>115800</v>
      </c>
      <c r="H2973" s="90" t="s">
        <v>7</v>
      </c>
      <c r="I29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3" s="90" t="s">
        <v>9080</v>
      </c>
    </row>
    <row r="2974" spans="1:11">
      <c r="A2974" s="90" t="s">
        <v>9079</v>
      </c>
      <c r="B2974" s="90" t="s">
        <v>9080</v>
      </c>
      <c r="C2974" s="90" t="s">
        <v>12</v>
      </c>
      <c r="D2974" s="90" t="str">
        <f>VLOOKUP(Tabela1[[#This Row],[Origem]],'Perguntas 1 a 24'!$J$28:$K$34,2,FALSE)</f>
        <v>Sudeste</v>
      </c>
      <c r="E2974" s="90" t="s">
        <v>14312</v>
      </c>
      <c r="F2974" s="91">
        <v>47282</v>
      </c>
      <c r="G2974" s="92">
        <v>59816</v>
      </c>
      <c r="H2974" s="90" t="s">
        <v>11</v>
      </c>
      <c r="I29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4" s="90" t="s">
        <v>6869</v>
      </c>
    </row>
    <row r="2975" spans="1:11">
      <c r="A2975" s="90" t="s">
        <v>6868</v>
      </c>
      <c r="B2975" s="90" t="s">
        <v>6869</v>
      </c>
      <c r="C2975" s="90" t="s">
        <v>13</v>
      </c>
      <c r="D2975" s="90" t="str">
        <f>VLOOKUP(Tabela1[[#This Row],[Origem]],'Perguntas 1 a 24'!$J$28:$K$34,2,FALSE)</f>
        <v>Sudeste</v>
      </c>
      <c r="E2975" s="90" t="s">
        <v>14313</v>
      </c>
      <c r="F2975" s="91">
        <v>47284</v>
      </c>
      <c r="G2975" s="92">
        <v>58375</v>
      </c>
      <c r="H2975" s="90" t="s">
        <v>7</v>
      </c>
      <c r="I29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5" s="90" t="s">
        <v>9382</v>
      </c>
    </row>
    <row r="2976" spans="1:11">
      <c r="A2976" s="90" t="s">
        <v>9381</v>
      </c>
      <c r="B2976" s="90" t="s">
        <v>9382</v>
      </c>
      <c r="C2976" s="90" t="s">
        <v>13</v>
      </c>
      <c r="D2976" s="90" t="str">
        <f>VLOOKUP(Tabela1[[#This Row],[Origem]],'Perguntas 1 a 24'!$J$28:$K$34,2,FALSE)</f>
        <v>Sudeste</v>
      </c>
      <c r="E2976" s="90" t="s">
        <v>14314</v>
      </c>
      <c r="F2976" s="91">
        <v>47284</v>
      </c>
      <c r="G2976" s="92">
        <v>69495</v>
      </c>
      <c r="H2976" s="90" t="s">
        <v>9</v>
      </c>
      <c r="I29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6" s="90" t="s">
        <v>11232</v>
      </c>
    </row>
    <row r="2977" spans="1:11">
      <c r="A2977" s="90" t="s">
        <v>11231</v>
      </c>
      <c r="B2977" s="90" t="s">
        <v>11232</v>
      </c>
      <c r="C2977" s="90" t="s">
        <v>15</v>
      </c>
      <c r="D2977" s="90" t="str">
        <f>VLOOKUP(Tabela1[[#This Row],[Origem]],'Perguntas 1 a 24'!$J$28:$K$34,2,FALSE)</f>
        <v>Sudeste</v>
      </c>
      <c r="E2977" s="90" t="s">
        <v>14315</v>
      </c>
      <c r="F2977" s="91">
        <v>47284</v>
      </c>
      <c r="G2977" s="92">
        <v>67969</v>
      </c>
      <c r="H2977" s="90" t="s">
        <v>9</v>
      </c>
      <c r="I29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7" s="90" t="s">
        <v>7059</v>
      </c>
    </row>
    <row r="2978" spans="1:11">
      <c r="A2978" s="90" t="s">
        <v>7058</v>
      </c>
      <c r="B2978" s="90" t="s">
        <v>7059</v>
      </c>
      <c r="C2978" s="90" t="s">
        <v>8</v>
      </c>
      <c r="D2978" s="90" t="str">
        <f>VLOOKUP(Tabela1[[#This Row],[Origem]],'Perguntas 1 a 24'!$J$28:$K$34,2,FALSE)</f>
        <v>Nordeste</v>
      </c>
      <c r="E2978" s="90" t="s">
        <v>14316</v>
      </c>
      <c r="F2978" s="91">
        <v>47285</v>
      </c>
      <c r="G2978" s="92">
        <v>69586</v>
      </c>
      <c r="H2978" s="90" t="s">
        <v>14</v>
      </c>
      <c r="I29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8" s="90" t="s">
        <v>7213</v>
      </c>
    </row>
    <row r="2979" spans="1:11">
      <c r="A2979" s="90" t="s">
        <v>7212</v>
      </c>
      <c r="B2979" s="90" t="s">
        <v>7213</v>
      </c>
      <c r="C2979" s="90" t="s">
        <v>12</v>
      </c>
      <c r="D2979" s="90" t="str">
        <f>VLOOKUP(Tabela1[[#This Row],[Origem]],'Perguntas 1 a 24'!$J$28:$K$34,2,FALSE)</f>
        <v>Sudeste</v>
      </c>
      <c r="E2979" s="90" t="s">
        <v>14317</v>
      </c>
      <c r="F2979" s="91">
        <v>47287</v>
      </c>
      <c r="G2979" s="92">
        <v>30695</v>
      </c>
      <c r="H2979" s="90" t="s">
        <v>14</v>
      </c>
      <c r="I29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79" s="90" t="s">
        <v>8245</v>
      </c>
    </row>
    <row r="2980" spans="1:11">
      <c r="A2980" s="90" t="s">
        <v>8244</v>
      </c>
      <c r="B2980" s="90" t="s">
        <v>8245</v>
      </c>
      <c r="C2980" s="90" t="s">
        <v>8</v>
      </c>
      <c r="D2980" s="90" t="str">
        <f>VLOOKUP(Tabela1[[#This Row],[Origem]],'Perguntas 1 a 24'!$J$28:$K$34,2,FALSE)</f>
        <v>Nordeste</v>
      </c>
      <c r="E2980" s="90" t="s">
        <v>14318</v>
      </c>
      <c r="F2980" s="91">
        <v>47287</v>
      </c>
      <c r="G2980" s="92">
        <v>44031</v>
      </c>
      <c r="H2980" s="90" t="s">
        <v>9</v>
      </c>
      <c r="I29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0" s="90" t="s">
        <v>3773</v>
      </c>
    </row>
    <row r="2981" spans="1:11">
      <c r="A2981" s="90" t="s">
        <v>3772</v>
      </c>
      <c r="B2981" s="90" t="s">
        <v>3773</v>
      </c>
      <c r="C2981" s="90" t="s">
        <v>6</v>
      </c>
      <c r="D2981" s="90" t="str">
        <f>VLOOKUP(Tabela1[[#This Row],[Origem]],'Perguntas 1 a 24'!$J$28:$K$34,2,FALSE)</f>
        <v>Nordeste</v>
      </c>
      <c r="E2981" s="90" t="s">
        <v>14319</v>
      </c>
      <c r="F2981" s="91">
        <v>47288</v>
      </c>
      <c r="G2981" s="92">
        <v>116653</v>
      </c>
      <c r="H2981" s="90" t="s">
        <v>7</v>
      </c>
      <c r="I29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1" s="90" t="s">
        <v>8738</v>
      </c>
    </row>
    <row r="2982" spans="1:11">
      <c r="A2982" s="90" t="s">
        <v>8737</v>
      </c>
      <c r="B2982" s="90" t="s">
        <v>8738</v>
      </c>
      <c r="C2982" s="90" t="s">
        <v>10</v>
      </c>
      <c r="D2982" s="90" t="str">
        <f>VLOOKUP(Tabela1[[#This Row],[Origem]],'Perguntas 1 a 24'!$J$28:$K$34,2,FALSE)</f>
        <v>Centro-Oeste</v>
      </c>
      <c r="E2982" s="90" t="s">
        <v>14320</v>
      </c>
      <c r="F2982" s="91">
        <v>47289</v>
      </c>
      <c r="G2982" s="92">
        <v>53127</v>
      </c>
      <c r="H2982" s="90" t="s">
        <v>7</v>
      </c>
      <c r="I29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2" s="90" t="s">
        <v>10090</v>
      </c>
    </row>
    <row r="2983" spans="1:11">
      <c r="A2983" s="90" t="s">
        <v>10089</v>
      </c>
      <c r="B2983" s="90" t="s">
        <v>10090</v>
      </c>
      <c r="C2983" s="90" t="s">
        <v>16</v>
      </c>
      <c r="D2983" s="90" t="str">
        <f>VLOOKUP(Tabela1[[#This Row],[Origem]],'Perguntas 1 a 24'!$J$28:$K$34,2,FALSE)</f>
        <v>Sudeste</v>
      </c>
      <c r="E2983" s="90" t="s">
        <v>14321</v>
      </c>
      <c r="F2983" s="91">
        <v>47289</v>
      </c>
      <c r="G2983" s="92">
        <v>70841</v>
      </c>
      <c r="H2983" s="90" t="s">
        <v>9</v>
      </c>
      <c r="I29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3" s="90" t="s">
        <v>3713</v>
      </c>
    </row>
    <row r="2984" spans="1:11">
      <c r="A2984" s="90" t="s">
        <v>3712</v>
      </c>
      <c r="B2984" s="90" t="s">
        <v>3713</v>
      </c>
      <c r="C2984" s="90" t="s">
        <v>13</v>
      </c>
      <c r="D2984" s="90" t="str">
        <f>VLOOKUP(Tabela1[[#This Row],[Origem]],'Perguntas 1 a 24'!$J$28:$K$34,2,FALSE)</f>
        <v>Sudeste</v>
      </c>
      <c r="E2984" s="90" t="s">
        <v>14322</v>
      </c>
      <c r="F2984" s="91">
        <v>47290</v>
      </c>
      <c r="G2984" s="92">
        <v>67070</v>
      </c>
      <c r="H2984" s="90" t="s">
        <v>7</v>
      </c>
      <c r="I29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4" s="90" t="s">
        <v>5353</v>
      </c>
    </row>
    <row r="2985" spans="1:11">
      <c r="A2985" s="90" t="s">
        <v>5352</v>
      </c>
      <c r="B2985" s="90" t="s">
        <v>5353</v>
      </c>
      <c r="C2985" s="90" t="s">
        <v>16</v>
      </c>
      <c r="D2985" s="90" t="str">
        <f>VLOOKUP(Tabela1[[#This Row],[Origem]],'Perguntas 1 a 24'!$J$28:$K$34,2,FALSE)</f>
        <v>Sudeste</v>
      </c>
      <c r="E2985" s="90" t="s">
        <v>14323</v>
      </c>
      <c r="F2985" s="91">
        <v>47290</v>
      </c>
      <c r="G2985" s="92">
        <v>31947</v>
      </c>
      <c r="H2985" s="90" t="s">
        <v>14</v>
      </c>
      <c r="I29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5" s="90" t="s">
        <v>7627</v>
      </c>
    </row>
    <row r="2986" spans="1:11">
      <c r="A2986" s="90" t="s">
        <v>7626</v>
      </c>
      <c r="B2986" s="90" t="s">
        <v>7627</v>
      </c>
      <c r="C2986" s="90" t="s">
        <v>16</v>
      </c>
      <c r="D2986" s="90" t="str">
        <f>VLOOKUP(Tabela1[[#This Row],[Origem]],'Perguntas 1 a 24'!$J$28:$K$34,2,FALSE)</f>
        <v>Sudeste</v>
      </c>
      <c r="E2986" s="90" t="s">
        <v>14324</v>
      </c>
      <c r="F2986" s="91">
        <v>47291</v>
      </c>
      <c r="G2986" s="92">
        <v>88752</v>
      </c>
      <c r="H2986" s="90" t="s">
        <v>11</v>
      </c>
      <c r="I29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6" s="90" t="s">
        <v>3997</v>
      </c>
    </row>
    <row r="2987" spans="1:11">
      <c r="A2987" s="90" t="s">
        <v>3996</v>
      </c>
      <c r="B2987" s="90" t="s">
        <v>3997</v>
      </c>
      <c r="C2987" s="90" t="s">
        <v>15</v>
      </c>
      <c r="D2987" s="90" t="str">
        <f>VLOOKUP(Tabela1[[#This Row],[Origem]],'Perguntas 1 a 24'!$J$28:$K$34,2,FALSE)</f>
        <v>Sudeste</v>
      </c>
      <c r="E2987" s="90" t="s">
        <v>14325</v>
      </c>
      <c r="F2987" s="91">
        <v>47292</v>
      </c>
      <c r="G2987" s="92">
        <v>68759</v>
      </c>
      <c r="H2987" s="90" t="s">
        <v>9</v>
      </c>
      <c r="I29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7" s="90" t="s">
        <v>4549</v>
      </c>
    </row>
    <row r="2988" spans="1:11">
      <c r="A2988" s="90" t="s">
        <v>4548</v>
      </c>
      <c r="B2988" s="90" t="s">
        <v>4549</v>
      </c>
      <c r="C2988" s="90" t="s">
        <v>13</v>
      </c>
      <c r="D2988" s="90" t="str">
        <f>VLOOKUP(Tabela1[[#This Row],[Origem]],'Perguntas 1 a 24'!$J$28:$K$34,2,FALSE)</f>
        <v>Sudeste</v>
      </c>
      <c r="E2988" s="90" t="s">
        <v>14326</v>
      </c>
      <c r="F2988" s="91">
        <v>47292</v>
      </c>
      <c r="G2988" s="92">
        <v>75843</v>
      </c>
      <c r="H2988" s="90" t="s">
        <v>11</v>
      </c>
      <c r="I29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8" s="90" t="s">
        <v>8642</v>
      </c>
    </row>
    <row r="2989" spans="1:11">
      <c r="A2989" s="90" t="s">
        <v>8641</v>
      </c>
      <c r="B2989" s="90" t="s">
        <v>8642</v>
      </c>
      <c r="C2989" s="90" t="s">
        <v>10</v>
      </c>
      <c r="D2989" s="90" t="str">
        <f>VLOOKUP(Tabela1[[#This Row],[Origem]],'Perguntas 1 a 24'!$J$28:$K$34,2,FALSE)</f>
        <v>Centro-Oeste</v>
      </c>
      <c r="E2989" s="90" t="s">
        <v>14327</v>
      </c>
      <c r="F2989" s="91">
        <v>47293</v>
      </c>
      <c r="G2989" s="92">
        <v>34893</v>
      </c>
      <c r="H2989" s="90" t="s">
        <v>9</v>
      </c>
      <c r="I29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89" s="90" t="s">
        <v>9922</v>
      </c>
    </row>
    <row r="2990" spans="1:11">
      <c r="A2990" s="90" t="s">
        <v>9921</v>
      </c>
      <c r="B2990" s="90" t="s">
        <v>9922</v>
      </c>
      <c r="C2990" s="90" t="s">
        <v>8</v>
      </c>
      <c r="D2990" s="90" t="str">
        <f>VLOOKUP(Tabela1[[#This Row],[Origem]],'Perguntas 1 a 24'!$J$28:$K$34,2,FALSE)</f>
        <v>Nordeste</v>
      </c>
      <c r="E2990" s="90" t="s">
        <v>14328</v>
      </c>
      <c r="F2990" s="91">
        <v>47293</v>
      </c>
      <c r="G2990" s="92">
        <v>43322</v>
      </c>
      <c r="H2990" s="90" t="s">
        <v>7</v>
      </c>
      <c r="I29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0" s="90" t="s">
        <v>11118</v>
      </c>
    </row>
    <row r="2991" spans="1:11">
      <c r="A2991" s="90" t="s">
        <v>11117</v>
      </c>
      <c r="B2991" s="90" t="s">
        <v>11118</v>
      </c>
      <c r="C2991" s="90" t="s">
        <v>10</v>
      </c>
      <c r="D2991" s="90" t="str">
        <f>VLOOKUP(Tabela1[[#This Row],[Origem]],'Perguntas 1 a 24'!$J$28:$K$34,2,FALSE)</f>
        <v>Centro-Oeste</v>
      </c>
      <c r="E2991" s="90" t="s">
        <v>14329</v>
      </c>
      <c r="F2991" s="91">
        <v>47293</v>
      </c>
      <c r="G2991" s="92">
        <v>43446</v>
      </c>
      <c r="H2991" s="90" t="s">
        <v>7</v>
      </c>
      <c r="I29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1" s="90" t="s">
        <v>5677</v>
      </c>
    </row>
    <row r="2992" spans="1:11">
      <c r="A2992" s="90" t="s">
        <v>5676</v>
      </c>
      <c r="B2992" s="90" t="s">
        <v>5677</v>
      </c>
      <c r="C2992" s="90" t="s">
        <v>12</v>
      </c>
      <c r="D2992" s="90" t="str">
        <f>VLOOKUP(Tabela1[[#This Row],[Origem]],'Perguntas 1 a 24'!$J$28:$K$34,2,FALSE)</f>
        <v>Sudeste</v>
      </c>
      <c r="E2992" s="90" t="s">
        <v>14330</v>
      </c>
      <c r="F2992" s="91">
        <v>47294</v>
      </c>
      <c r="G2992" s="92">
        <v>73624</v>
      </c>
      <c r="H2992" s="90" t="s">
        <v>14</v>
      </c>
      <c r="I29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2" s="90" t="s">
        <v>6455</v>
      </c>
    </row>
    <row r="2993" spans="1:11">
      <c r="A2993" s="90" t="s">
        <v>6454</v>
      </c>
      <c r="B2993" s="90" t="s">
        <v>6455</v>
      </c>
      <c r="C2993" s="90" t="s">
        <v>16</v>
      </c>
      <c r="D2993" s="90" t="str">
        <f>VLOOKUP(Tabela1[[#This Row],[Origem]],'Perguntas 1 a 24'!$J$28:$K$34,2,FALSE)</f>
        <v>Sudeste</v>
      </c>
      <c r="E2993" s="90" t="s">
        <v>14331</v>
      </c>
      <c r="F2993" s="91">
        <v>47294</v>
      </c>
      <c r="G2993" s="92">
        <v>47720</v>
      </c>
      <c r="H2993" s="90" t="s">
        <v>7</v>
      </c>
      <c r="I29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3" s="90" t="s">
        <v>9112</v>
      </c>
    </row>
    <row r="2994" spans="1:11">
      <c r="A2994" s="90" t="s">
        <v>9111</v>
      </c>
      <c r="B2994" s="90" t="s">
        <v>9112</v>
      </c>
      <c r="C2994" s="90" t="s">
        <v>12</v>
      </c>
      <c r="D2994" s="90" t="str">
        <f>VLOOKUP(Tabela1[[#This Row],[Origem]],'Perguntas 1 a 24'!$J$28:$K$34,2,FALSE)</f>
        <v>Sudeste</v>
      </c>
      <c r="E2994" s="90" t="s">
        <v>14332</v>
      </c>
      <c r="F2994" s="91">
        <v>47295</v>
      </c>
      <c r="G2994" s="92">
        <v>74490</v>
      </c>
      <c r="H2994" s="90" t="s">
        <v>9</v>
      </c>
      <c r="I29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4" s="90" t="s">
        <v>4252</v>
      </c>
    </row>
    <row r="2995" spans="1:11">
      <c r="A2995" s="90" t="s">
        <v>4251</v>
      </c>
      <c r="B2995" s="90" t="s">
        <v>4252</v>
      </c>
      <c r="C2995" s="90" t="s">
        <v>6</v>
      </c>
      <c r="D2995" s="90" t="str">
        <f>VLOOKUP(Tabela1[[#This Row],[Origem]],'Perguntas 1 a 24'!$J$28:$K$34,2,FALSE)</f>
        <v>Nordeste</v>
      </c>
      <c r="E2995" s="90" t="s">
        <v>14333</v>
      </c>
      <c r="F2995" s="91">
        <v>47297</v>
      </c>
      <c r="G2995" s="92">
        <v>24872</v>
      </c>
      <c r="H2995" s="90" t="s">
        <v>9</v>
      </c>
      <c r="I29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5" s="90" t="s">
        <v>10050</v>
      </c>
    </row>
    <row r="2996" spans="1:11">
      <c r="A2996" s="90" t="s">
        <v>10049</v>
      </c>
      <c r="B2996" s="90" t="s">
        <v>10050</v>
      </c>
      <c r="C2996" s="90" t="s">
        <v>16</v>
      </c>
      <c r="D2996" s="90" t="str">
        <f>VLOOKUP(Tabela1[[#This Row],[Origem]],'Perguntas 1 a 24'!$J$28:$K$34,2,FALSE)</f>
        <v>Sudeste</v>
      </c>
      <c r="E2996" s="90" t="s">
        <v>14334</v>
      </c>
      <c r="F2996" s="91">
        <v>47297</v>
      </c>
      <c r="G2996" s="92">
        <v>45050</v>
      </c>
      <c r="H2996" s="90" t="s">
        <v>11</v>
      </c>
      <c r="I29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6" s="90" t="s">
        <v>10728</v>
      </c>
    </row>
    <row r="2997" spans="1:11">
      <c r="A2997" s="90" t="s">
        <v>10727</v>
      </c>
      <c r="B2997" s="90" t="s">
        <v>10728</v>
      </c>
      <c r="C2997" s="90" t="s">
        <v>12</v>
      </c>
      <c r="D2997" s="90" t="str">
        <f>VLOOKUP(Tabela1[[#This Row],[Origem]],'Perguntas 1 a 24'!$J$28:$K$34,2,FALSE)</f>
        <v>Sudeste</v>
      </c>
      <c r="E2997" s="90" t="s">
        <v>14335</v>
      </c>
      <c r="F2997" s="91">
        <v>47297</v>
      </c>
      <c r="G2997" s="92">
        <v>87788</v>
      </c>
      <c r="H2997" s="90" t="s">
        <v>11</v>
      </c>
      <c r="I29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7" s="90" t="s">
        <v>5283</v>
      </c>
    </row>
    <row r="2998" spans="1:11">
      <c r="A2998" s="90" t="s">
        <v>5282</v>
      </c>
      <c r="B2998" s="90" t="s">
        <v>5283</v>
      </c>
      <c r="C2998" s="90" t="s">
        <v>10</v>
      </c>
      <c r="D2998" s="90" t="str">
        <f>VLOOKUP(Tabela1[[#This Row],[Origem]],'Perguntas 1 a 24'!$J$28:$K$34,2,FALSE)</f>
        <v>Centro-Oeste</v>
      </c>
      <c r="E2998" s="90" t="s">
        <v>14336</v>
      </c>
      <c r="F2998" s="91">
        <v>47300</v>
      </c>
      <c r="G2998" s="92">
        <v>115321</v>
      </c>
      <c r="H2998" s="90" t="s">
        <v>9</v>
      </c>
      <c r="I29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8" s="90" t="s">
        <v>8081</v>
      </c>
    </row>
    <row r="2999" spans="1:11">
      <c r="A2999" s="90" t="s">
        <v>8080</v>
      </c>
      <c r="B2999" s="90" t="s">
        <v>8081</v>
      </c>
      <c r="C2999" s="90" t="s">
        <v>6</v>
      </c>
      <c r="D2999" s="90" t="str">
        <f>VLOOKUP(Tabela1[[#This Row],[Origem]],'Perguntas 1 a 24'!$J$28:$K$34,2,FALSE)</f>
        <v>Nordeste</v>
      </c>
      <c r="E2999" s="90" t="s">
        <v>14337</v>
      </c>
      <c r="F2999" s="91">
        <v>47300</v>
      </c>
      <c r="G2999" s="92">
        <v>115053</v>
      </c>
      <c r="H2999" s="90" t="s">
        <v>11</v>
      </c>
      <c r="I29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2999" s="90" t="s">
        <v>6721</v>
      </c>
    </row>
    <row r="3000" spans="1:11">
      <c r="A3000" s="90" t="s">
        <v>6720</v>
      </c>
      <c r="B3000" s="90" t="s">
        <v>6721</v>
      </c>
      <c r="C3000" s="90" t="s">
        <v>13</v>
      </c>
      <c r="D3000" s="90" t="str">
        <f>VLOOKUP(Tabela1[[#This Row],[Origem]],'Perguntas 1 a 24'!$J$28:$K$34,2,FALSE)</f>
        <v>Sudeste</v>
      </c>
      <c r="E3000" s="90" t="s">
        <v>14338</v>
      </c>
      <c r="F3000" s="91">
        <v>47301</v>
      </c>
      <c r="G3000" s="92">
        <v>112338</v>
      </c>
      <c r="H3000" s="90" t="s">
        <v>11</v>
      </c>
      <c r="I30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0" s="90" t="s">
        <v>9264</v>
      </c>
    </row>
    <row r="3001" spans="1:11">
      <c r="A3001" s="90" t="s">
        <v>9263</v>
      </c>
      <c r="B3001" s="90" t="s">
        <v>9264</v>
      </c>
      <c r="C3001" s="90" t="s">
        <v>8</v>
      </c>
      <c r="D3001" s="90" t="str">
        <f>VLOOKUP(Tabela1[[#This Row],[Origem]],'Perguntas 1 a 24'!$J$28:$K$34,2,FALSE)</f>
        <v>Nordeste</v>
      </c>
      <c r="E3001" s="90" t="s">
        <v>14339</v>
      </c>
      <c r="F3001" s="91">
        <v>47301</v>
      </c>
      <c r="G3001" s="92">
        <v>101661</v>
      </c>
      <c r="H3001" s="90" t="s">
        <v>14</v>
      </c>
      <c r="I30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1" s="90" t="s">
        <v>4320</v>
      </c>
    </row>
    <row r="3002" spans="1:11">
      <c r="A3002" s="90" t="s">
        <v>4319</v>
      </c>
      <c r="B3002" s="90" t="s">
        <v>4320</v>
      </c>
      <c r="C3002" s="90" t="s">
        <v>16</v>
      </c>
      <c r="D3002" s="90" t="str">
        <f>VLOOKUP(Tabela1[[#This Row],[Origem]],'Perguntas 1 a 24'!$J$28:$K$34,2,FALSE)</f>
        <v>Sudeste</v>
      </c>
      <c r="E3002" s="90" t="s">
        <v>14340</v>
      </c>
      <c r="F3002" s="91">
        <v>47302</v>
      </c>
      <c r="G3002" s="92">
        <v>42336</v>
      </c>
      <c r="H3002" s="90" t="s">
        <v>14</v>
      </c>
      <c r="I30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2" s="90" t="s">
        <v>6581</v>
      </c>
    </row>
    <row r="3003" spans="1:11">
      <c r="A3003" s="90" t="s">
        <v>6580</v>
      </c>
      <c r="B3003" s="90" t="s">
        <v>6581</v>
      </c>
      <c r="C3003" s="90" t="s">
        <v>15</v>
      </c>
      <c r="D3003" s="90" t="str">
        <f>VLOOKUP(Tabela1[[#This Row],[Origem]],'Perguntas 1 a 24'!$J$28:$K$34,2,FALSE)</f>
        <v>Sudeste</v>
      </c>
      <c r="E3003" s="90" t="s">
        <v>14341</v>
      </c>
      <c r="F3003" s="91">
        <v>47302</v>
      </c>
      <c r="G3003" s="92">
        <v>74645</v>
      </c>
      <c r="H3003" s="90" t="s">
        <v>14</v>
      </c>
      <c r="I30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3" s="90" t="s">
        <v>6685</v>
      </c>
    </row>
    <row r="3004" spans="1:11">
      <c r="A3004" s="90" t="s">
        <v>6684</v>
      </c>
      <c r="B3004" s="90" t="s">
        <v>6685</v>
      </c>
      <c r="C3004" s="90" t="s">
        <v>10</v>
      </c>
      <c r="D3004" s="90" t="str">
        <f>VLOOKUP(Tabela1[[#This Row],[Origem]],'Perguntas 1 a 24'!$J$28:$K$34,2,FALSE)</f>
        <v>Centro-Oeste</v>
      </c>
      <c r="E3004" s="90" t="s">
        <v>14342</v>
      </c>
      <c r="F3004" s="91">
        <v>47302</v>
      </c>
      <c r="G3004" s="92">
        <v>76619</v>
      </c>
      <c r="H3004" s="90" t="s">
        <v>7</v>
      </c>
      <c r="I30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4" s="90" t="s">
        <v>6139</v>
      </c>
    </row>
    <row r="3005" spans="1:11">
      <c r="A3005" s="90" t="s">
        <v>6138</v>
      </c>
      <c r="B3005" s="90" t="s">
        <v>6139</v>
      </c>
      <c r="C3005" s="90" t="s">
        <v>13</v>
      </c>
      <c r="D3005" s="90" t="str">
        <f>VLOOKUP(Tabela1[[#This Row],[Origem]],'Perguntas 1 a 24'!$J$28:$K$34,2,FALSE)</f>
        <v>Sudeste</v>
      </c>
      <c r="E3005" s="90" t="s">
        <v>14343</v>
      </c>
      <c r="F3005" s="91">
        <v>47303</v>
      </c>
      <c r="G3005" s="92">
        <v>34394</v>
      </c>
      <c r="H3005" s="90" t="s">
        <v>7</v>
      </c>
      <c r="I30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5" s="90" t="s">
        <v>6179</v>
      </c>
    </row>
    <row r="3006" spans="1:11">
      <c r="A3006" s="90" t="s">
        <v>6178</v>
      </c>
      <c r="B3006" s="90" t="s">
        <v>6179</v>
      </c>
      <c r="C3006" s="90" t="s">
        <v>12</v>
      </c>
      <c r="D3006" s="90" t="str">
        <f>VLOOKUP(Tabela1[[#This Row],[Origem]],'Perguntas 1 a 24'!$J$28:$K$34,2,FALSE)</f>
        <v>Sudeste</v>
      </c>
      <c r="E3006" s="90" t="s">
        <v>14344</v>
      </c>
      <c r="F3006" s="91">
        <v>47304</v>
      </c>
      <c r="G3006" s="92">
        <v>27244</v>
      </c>
      <c r="H3006" s="90" t="s">
        <v>7</v>
      </c>
      <c r="I30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6" s="90" t="s">
        <v>6481</v>
      </c>
    </row>
    <row r="3007" spans="1:11">
      <c r="A3007" s="90" t="s">
        <v>6480</v>
      </c>
      <c r="B3007" s="90" t="s">
        <v>6481</v>
      </c>
      <c r="C3007" s="90" t="s">
        <v>10</v>
      </c>
      <c r="D3007" s="90" t="str">
        <f>VLOOKUP(Tabela1[[#This Row],[Origem]],'Perguntas 1 a 24'!$J$28:$K$34,2,FALSE)</f>
        <v>Centro-Oeste</v>
      </c>
      <c r="E3007" s="90" t="s">
        <v>14345</v>
      </c>
      <c r="F3007" s="91">
        <v>47304</v>
      </c>
      <c r="G3007" s="92">
        <v>94060</v>
      </c>
      <c r="H3007" s="90" t="s">
        <v>14</v>
      </c>
      <c r="I30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7" s="90" t="s">
        <v>8305</v>
      </c>
    </row>
    <row r="3008" spans="1:11">
      <c r="A3008" s="90" t="s">
        <v>8304</v>
      </c>
      <c r="B3008" s="90" t="s">
        <v>8305</v>
      </c>
      <c r="C3008" s="90" t="s">
        <v>12</v>
      </c>
      <c r="D3008" s="90" t="str">
        <f>VLOOKUP(Tabela1[[#This Row],[Origem]],'Perguntas 1 a 24'!$J$28:$K$34,2,FALSE)</f>
        <v>Sudeste</v>
      </c>
      <c r="E3008" s="90" t="s">
        <v>14346</v>
      </c>
      <c r="F3008" s="91">
        <v>47304</v>
      </c>
      <c r="G3008" s="92">
        <v>77857</v>
      </c>
      <c r="H3008" s="90" t="s">
        <v>14</v>
      </c>
      <c r="I30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8" s="90" t="s">
        <v>9274</v>
      </c>
    </row>
    <row r="3009" spans="1:11">
      <c r="A3009" s="90" t="s">
        <v>9273</v>
      </c>
      <c r="B3009" s="90" t="s">
        <v>9274</v>
      </c>
      <c r="C3009" s="90" t="s">
        <v>6</v>
      </c>
      <c r="D3009" s="90" t="str">
        <f>VLOOKUP(Tabela1[[#This Row],[Origem]],'Perguntas 1 a 24'!$J$28:$K$34,2,FALSE)</f>
        <v>Nordeste</v>
      </c>
      <c r="E3009" s="90" t="s">
        <v>14347</v>
      </c>
      <c r="F3009" s="91">
        <v>47304</v>
      </c>
      <c r="G3009" s="92">
        <v>68637</v>
      </c>
      <c r="H3009" s="90" t="s">
        <v>9</v>
      </c>
      <c r="I30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09" s="90" t="s">
        <v>7835</v>
      </c>
    </row>
    <row r="3010" spans="1:11">
      <c r="A3010" s="90" t="s">
        <v>7834</v>
      </c>
      <c r="B3010" s="90" t="s">
        <v>7835</v>
      </c>
      <c r="C3010" s="90" t="s">
        <v>6</v>
      </c>
      <c r="D3010" s="90" t="str">
        <f>VLOOKUP(Tabela1[[#This Row],[Origem]],'Perguntas 1 a 24'!$J$28:$K$34,2,FALSE)</f>
        <v>Nordeste</v>
      </c>
      <c r="E3010" s="90" t="s">
        <v>14348</v>
      </c>
      <c r="F3010" s="91">
        <v>47306</v>
      </c>
      <c r="G3010" s="92">
        <v>55386</v>
      </c>
      <c r="H3010" s="90" t="s">
        <v>14</v>
      </c>
      <c r="I30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0" s="90" t="s">
        <v>8363</v>
      </c>
    </row>
    <row r="3011" spans="1:11">
      <c r="A3011" s="90" t="s">
        <v>8362</v>
      </c>
      <c r="B3011" s="90" t="s">
        <v>8363</v>
      </c>
      <c r="C3011" s="90" t="s">
        <v>6</v>
      </c>
      <c r="D3011" s="90" t="str">
        <f>VLOOKUP(Tabela1[[#This Row],[Origem]],'Perguntas 1 a 24'!$J$28:$K$34,2,FALSE)</f>
        <v>Nordeste</v>
      </c>
      <c r="E3011" s="90" t="s">
        <v>14349</v>
      </c>
      <c r="F3011" s="91">
        <v>47306</v>
      </c>
      <c r="G3011" s="92">
        <v>40206</v>
      </c>
      <c r="H3011" s="90" t="s">
        <v>9</v>
      </c>
      <c r="I30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1" s="90" t="s">
        <v>10262</v>
      </c>
    </row>
    <row r="3012" spans="1:11">
      <c r="A3012" s="90" t="s">
        <v>10261</v>
      </c>
      <c r="B3012" s="90" t="s">
        <v>10262</v>
      </c>
      <c r="C3012" s="90" t="s">
        <v>16</v>
      </c>
      <c r="D3012" s="90" t="str">
        <f>VLOOKUP(Tabela1[[#This Row],[Origem]],'Perguntas 1 a 24'!$J$28:$K$34,2,FALSE)</f>
        <v>Sudeste</v>
      </c>
      <c r="E3012" s="90" t="s">
        <v>14350</v>
      </c>
      <c r="F3012" s="91">
        <v>47306</v>
      </c>
      <c r="G3012" s="92">
        <v>111764</v>
      </c>
      <c r="H3012" s="90" t="s">
        <v>11</v>
      </c>
      <c r="I30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2" s="90" t="s">
        <v>8027</v>
      </c>
    </row>
    <row r="3013" spans="1:11">
      <c r="A3013" s="90" t="s">
        <v>8026</v>
      </c>
      <c r="B3013" s="90" t="s">
        <v>8027</v>
      </c>
      <c r="C3013" s="90" t="s">
        <v>8</v>
      </c>
      <c r="D3013" s="90" t="str">
        <f>VLOOKUP(Tabela1[[#This Row],[Origem]],'Perguntas 1 a 24'!$J$28:$K$34,2,FALSE)</f>
        <v>Nordeste</v>
      </c>
      <c r="E3013" s="90" t="s">
        <v>14351</v>
      </c>
      <c r="F3013" s="91">
        <v>47308</v>
      </c>
      <c r="G3013" s="92">
        <v>20175</v>
      </c>
      <c r="H3013" s="90" t="s">
        <v>9</v>
      </c>
      <c r="I30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3" s="90" t="s">
        <v>5999</v>
      </c>
    </row>
    <row r="3014" spans="1:11">
      <c r="A3014" s="90" t="s">
        <v>5998</v>
      </c>
      <c r="B3014" s="90" t="s">
        <v>5999</v>
      </c>
      <c r="C3014" s="90" t="s">
        <v>8</v>
      </c>
      <c r="D3014" s="90" t="str">
        <f>VLOOKUP(Tabela1[[#This Row],[Origem]],'Perguntas 1 a 24'!$J$28:$K$34,2,FALSE)</f>
        <v>Nordeste</v>
      </c>
      <c r="E3014" s="90" t="s">
        <v>14352</v>
      </c>
      <c r="F3014" s="91">
        <v>47309</v>
      </c>
      <c r="G3014" s="92">
        <v>107913</v>
      </c>
      <c r="H3014" s="90" t="s">
        <v>14</v>
      </c>
      <c r="I30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4" s="90" t="s">
        <v>6037</v>
      </c>
    </row>
    <row r="3015" spans="1:11">
      <c r="A3015" s="90" t="s">
        <v>6036</v>
      </c>
      <c r="B3015" s="90" t="s">
        <v>6037</v>
      </c>
      <c r="C3015" s="90" t="s">
        <v>10</v>
      </c>
      <c r="D3015" s="90" t="str">
        <f>VLOOKUP(Tabela1[[#This Row],[Origem]],'Perguntas 1 a 24'!$J$28:$K$34,2,FALSE)</f>
        <v>Centro-Oeste</v>
      </c>
      <c r="E3015" s="90" t="s">
        <v>14353</v>
      </c>
      <c r="F3015" s="91">
        <v>47309</v>
      </c>
      <c r="G3015" s="92">
        <v>72959</v>
      </c>
      <c r="H3015" s="90" t="s">
        <v>9</v>
      </c>
      <c r="I30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5" s="90" t="s">
        <v>9526</v>
      </c>
    </row>
    <row r="3016" spans="1:11">
      <c r="A3016" s="90" t="s">
        <v>9525</v>
      </c>
      <c r="B3016" s="90" t="s">
        <v>9526</v>
      </c>
      <c r="C3016" s="90" t="s">
        <v>6</v>
      </c>
      <c r="D3016" s="90" t="str">
        <f>VLOOKUP(Tabela1[[#This Row],[Origem]],'Perguntas 1 a 24'!$J$28:$K$34,2,FALSE)</f>
        <v>Nordeste</v>
      </c>
      <c r="E3016" s="90" t="s">
        <v>14354</v>
      </c>
      <c r="F3016" s="91">
        <v>47309</v>
      </c>
      <c r="G3016" s="92">
        <v>26985</v>
      </c>
      <c r="H3016" s="90" t="s">
        <v>9</v>
      </c>
      <c r="I30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6" s="90" t="s">
        <v>4663</v>
      </c>
    </row>
    <row r="3017" spans="1:11">
      <c r="A3017" s="90" t="s">
        <v>4662</v>
      </c>
      <c r="B3017" s="90" t="s">
        <v>4663</v>
      </c>
      <c r="C3017" s="90" t="s">
        <v>10</v>
      </c>
      <c r="D3017" s="90" t="str">
        <f>VLOOKUP(Tabela1[[#This Row],[Origem]],'Perguntas 1 a 24'!$J$28:$K$34,2,FALSE)</f>
        <v>Centro-Oeste</v>
      </c>
      <c r="E3017" s="90" t="s">
        <v>14355</v>
      </c>
      <c r="F3017" s="91">
        <v>47310</v>
      </c>
      <c r="G3017" s="92">
        <v>100251</v>
      </c>
      <c r="H3017" s="90" t="s">
        <v>7</v>
      </c>
      <c r="I30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7" s="90" t="s">
        <v>6001</v>
      </c>
    </row>
    <row r="3018" spans="1:11">
      <c r="A3018" s="90" t="s">
        <v>6000</v>
      </c>
      <c r="B3018" s="90" t="s">
        <v>6001</v>
      </c>
      <c r="C3018" s="90" t="s">
        <v>16</v>
      </c>
      <c r="D3018" s="90" t="str">
        <f>VLOOKUP(Tabela1[[#This Row],[Origem]],'Perguntas 1 a 24'!$J$28:$K$34,2,FALSE)</f>
        <v>Sudeste</v>
      </c>
      <c r="E3018" s="90" t="s">
        <v>14356</v>
      </c>
      <c r="F3018" s="91">
        <v>47310</v>
      </c>
      <c r="G3018" s="92">
        <v>111119</v>
      </c>
      <c r="H3018" s="90" t="s">
        <v>9</v>
      </c>
      <c r="I30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8" s="90" t="s">
        <v>8157</v>
      </c>
    </row>
    <row r="3019" spans="1:11">
      <c r="A3019" s="90" t="s">
        <v>8156</v>
      </c>
      <c r="B3019" s="90" t="s">
        <v>8157</v>
      </c>
      <c r="C3019" s="90" t="s">
        <v>16</v>
      </c>
      <c r="D3019" s="90" t="str">
        <f>VLOOKUP(Tabela1[[#This Row],[Origem]],'Perguntas 1 a 24'!$J$28:$K$34,2,FALSE)</f>
        <v>Sudeste</v>
      </c>
      <c r="E3019" s="90" t="s">
        <v>14357</v>
      </c>
      <c r="F3019" s="91">
        <v>47310</v>
      </c>
      <c r="G3019" s="92">
        <v>68907</v>
      </c>
      <c r="H3019" s="90" t="s">
        <v>7</v>
      </c>
      <c r="I30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19" s="90" t="s">
        <v>8227</v>
      </c>
    </row>
    <row r="3020" spans="1:11">
      <c r="A3020" s="90" t="s">
        <v>8226</v>
      </c>
      <c r="B3020" s="90" t="s">
        <v>8227</v>
      </c>
      <c r="C3020" s="90" t="s">
        <v>12</v>
      </c>
      <c r="D3020" s="90" t="str">
        <f>VLOOKUP(Tabela1[[#This Row],[Origem]],'Perguntas 1 a 24'!$J$28:$K$34,2,FALSE)</f>
        <v>Sudeste</v>
      </c>
      <c r="E3020" s="90" t="s">
        <v>14358</v>
      </c>
      <c r="F3020" s="91">
        <v>47310</v>
      </c>
      <c r="G3020" s="92">
        <v>62254</v>
      </c>
      <c r="H3020" s="90" t="s">
        <v>14</v>
      </c>
      <c r="I30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0" s="90" t="s">
        <v>7903</v>
      </c>
    </row>
    <row r="3021" spans="1:11">
      <c r="A3021" s="90" t="s">
        <v>7902</v>
      </c>
      <c r="B3021" s="90" t="s">
        <v>7903</v>
      </c>
      <c r="C3021" s="90" t="s">
        <v>13</v>
      </c>
      <c r="D3021" s="90" t="str">
        <f>VLOOKUP(Tabela1[[#This Row],[Origem]],'Perguntas 1 a 24'!$J$28:$K$34,2,FALSE)</f>
        <v>Sudeste</v>
      </c>
      <c r="E3021" s="90" t="s">
        <v>14359</v>
      </c>
      <c r="F3021" s="91">
        <v>47311</v>
      </c>
      <c r="G3021" s="92">
        <v>78073</v>
      </c>
      <c r="H3021" s="90" t="s">
        <v>14</v>
      </c>
      <c r="I30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1" s="90" t="s">
        <v>8247</v>
      </c>
    </row>
    <row r="3022" spans="1:11">
      <c r="A3022" s="90" t="s">
        <v>8246</v>
      </c>
      <c r="B3022" s="90" t="s">
        <v>8247</v>
      </c>
      <c r="C3022" s="90" t="s">
        <v>13</v>
      </c>
      <c r="D3022" s="90" t="str">
        <f>VLOOKUP(Tabela1[[#This Row],[Origem]],'Perguntas 1 a 24'!$J$28:$K$34,2,FALSE)</f>
        <v>Sudeste</v>
      </c>
      <c r="E3022" s="90" t="s">
        <v>14360</v>
      </c>
      <c r="F3022" s="91">
        <v>47311</v>
      </c>
      <c r="G3022" s="92">
        <v>31745</v>
      </c>
      <c r="H3022" s="90" t="s">
        <v>7</v>
      </c>
      <c r="I30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2" s="90" t="s">
        <v>6135</v>
      </c>
    </row>
    <row r="3023" spans="1:11">
      <c r="A3023" s="90" t="s">
        <v>6134</v>
      </c>
      <c r="B3023" s="90" t="s">
        <v>6135</v>
      </c>
      <c r="C3023" s="90" t="s">
        <v>15</v>
      </c>
      <c r="D3023" s="90" t="str">
        <f>VLOOKUP(Tabela1[[#This Row],[Origem]],'Perguntas 1 a 24'!$J$28:$K$34,2,FALSE)</f>
        <v>Sudeste</v>
      </c>
      <c r="E3023" s="90" t="s">
        <v>14361</v>
      </c>
      <c r="F3023" s="91">
        <v>47312</v>
      </c>
      <c r="G3023" s="92">
        <v>23247</v>
      </c>
      <c r="H3023" s="90" t="s">
        <v>14</v>
      </c>
      <c r="I30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3" s="90" t="s">
        <v>3763</v>
      </c>
    </row>
    <row r="3024" spans="1:11">
      <c r="A3024" s="90" t="s">
        <v>3762</v>
      </c>
      <c r="B3024" s="90" t="s">
        <v>3763</v>
      </c>
      <c r="C3024" s="90" t="s">
        <v>8</v>
      </c>
      <c r="D3024" s="90" t="str">
        <f>VLOOKUP(Tabela1[[#This Row],[Origem]],'Perguntas 1 a 24'!$J$28:$K$34,2,FALSE)</f>
        <v>Nordeste</v>
      </c>
      <c r="E3024" s="90" t="s">
        <v>14362</v>
      </c>
      <c r="F3024" s="91">
        <v>47313</v>
      </c>
      <c r="G3024" s="92">
        <v>107124</v>
      </c>
      <c r="H3024" s="90" t="s">
        <v>9</v>
      </c>
      <c r="I30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4" s="90" t="s">
        <v>6633</v>
      </c>
    </row>
    <row r="3025" spans="1:11">
      <c r="A3025" s="90" t="s">
        <v>6632</v>
      </c>
      <c r="B3025" s="90" t="s">
        <v>6633</v>
      </c>
      <c r="C3025" s="90" t="s">
        <v>16</v>
      </c>
      <c r="D3025" s="90" t="str">
        <f>VLOOKUP(Tabela1[[#This Row],[Origem]],'Perguntas 1 a 24'!$J$28:$K$34,2,FALSE)</f>
        <v>Sudeste</v>
      </c>
      <c r="E3025" s="90" t="s">
        <v>14363</v>
      </c>
      <c r="F3025" s="91">
        <v>47313</v>
      </c>
      <c r="G3025" s="92">
        <v>71010</v>
      </c>
      <c r="H3025" s="90" t="s">
        <v>11</v>
      </c>
      <c r="I30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5" s="90" t="s">
        <v>6973</v>
      </c>
    </row>
    <row r="3026" spans="1:11">
      <c r="A3026" s="90" t="s">
        <v>6972</v>
      </c>
      <c r="B3026" s="90" t="s">
        <v>6973</v>
      </c>
      <c r="C3026" s="90" t="s">
        <v>8</v>
      </c>
      <c r="D3026" s="90" t="str">
        <f>VLOOKUP(Tabela1[[#This Row],[Origem]],'Perguntas 1 a 24'!$J$28:$K$34,2,FALSE)</f>
        <v>Nordeste</v>
      </c>
      <c r="E3026" s="90" t="s">
        <v>14364</v>
      </c>
      <c r="F3026" s="91">
        <v>47313</v>
      </c>
      <c r="G3026" s="92">
        <v>108881</v>
      </c>
      <c r="H3026" s="90" t="s">
        <v>14</v>
      </c>
      <c r="I30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6" s="90" t="s">
        <v>3666</v>
      </c>
    </row>
    <row r="3027" spans="1:11">
      <c r="A3027" s="90" t="s">
        <v>3665</v>
      </c>
      <c r="B3027" s="90" t="s">
        <v>3666</v>
      </c>
      <c r="C3027" s="90" t="s">
        <v>8</v>
      </c>
      <c r="D3027" s="90" t="str">
        <f>VLOOKUP(Tabela1[[#This Row],[Origem]],'Perguntas 1 a 24'!$J$28:$K$34,2,FALSE)</f>
        <v>Nordeste</v>
      </c>
      <c r="E3027" s="90" t="s">
        <v>14365</v>
      </c>
      <c r="F3027" s="91">
        <v>47315</v>
      </c>
      <c r="G3027" s="92">
        <v>79199</v>
      </c>
      <c r="H3027" s="90" t="s">
        <v>9</v>
      </c>
      <c r="I30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7" s="90" t="s">
        <v>3825</v>
      </c>
    </row>
    <row r="3028" spans="1:11">
      <c r="A3028" s="90" t="s">
        <v>3665</v>
      </c>
      <c r="B3028" s="90" t="s">
        <v>3666</v>
      </c>
      <c r="C3028" s="90" t="s">
        <v>8</v>
      </c>
      <c r="D3028" s="90" t="str">
        <f>VLOOKUP(Tabela1[[#This Row],[Origem]],'Perguntas 1 a 24'!$J$28:$K$34,2,FALSE)</f>
        <v>Nordeste</v>
      </c>
      <c r="E3028" s="90" t="s">
        <v>14365</v>
      </c>
      <c r="F3028" s="91">
        <v>47315</v>
      </c>
      <c r="G3028" s="92">
        <v>79199</v>
      </c>
      <c r="H3028" s="90" t="s">
        <v>9</v>
      </c>
      <c r="I30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8" s="90" t="s">
        <v>4119</v>
      </c>
    </row>
    <row r="3029" spans="1:11">
      <c r="A3029" s="90" t="s">
        <v>3665</v>
      </c>
      <c r="B3029" s="90" t="s">
        <v>3666</v>
      </c>
      <c r="C3029" s="90" t="s">
        <v>8</v>
      </c>
      <c r="D3029" s="90" t="str">
        <f>VLOOKUP(Tabela1[[#This Row],[Origem]],'Perguntas 1 a 24'!$J$28:$K$34,2,FALSE)</f>
        <v>Nordeste</v>
      </c>
      <c r="E3029" s="90" t="s">
        <v>14365</v>
      </c>
      <c r="F3029" s="91">
        <v>47315</v>
      </c>
      <c r="G3029" s="92">
        <v>79199</v>
      </c>
      <c r="H3029" s="90" t="s">
        <v>9</v>
      </c>
      <c r="I30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29" s="90" t="s">
        <v>4903</v>
      </c>
    </row>
    <row r="3030" spans="1:11">
      <c r="A3030" s="90" t="s">
        <v>3665</v>
      </c>
      <c r="B3030" s="90" t="s">
        <v>3666</v>
      </c>
      <c r="C3030" s="90" t="s">
        <v>8</v>
      </c>
      <c r="D3030" s="90" t="str">
        <f>VLOOKUP(Tabela1[[#This Row],[Origem]],'Perguntas 1 a 24'!$J$28:$K$34,2,FALSE)</f>
        <v>Nordeste</v>
      </c>
      <c r="E3030" s="90" t="s">
        <v>14365</v>
      </c>
      <c r="F3030" s="91">
        <v>47315</v>
      </c>
      <c r="G3030" s="92">
        <v>79199</v>
      </c>
      <c r="H3030" s="90" t="s">
        <v>9</v>
      </c>
      <c r="I30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0" s="90" t="s">
        <v>7753</v>
      </c>
    </row>
    <row r="3031" spans="1:11">
      <c r="A3031" s="90" t="s">
        <v>3824</v>
      </c>
      <c r="B3031" s="90" t="s">
        <v>3825</v>
      </c>
      <c r="C3031" s="90" t="s">
        <v>10</v>
      </c>
      <c r="D3031" s="90" t="str">
        <f>VLOOKUP(Tabela1[[#This Row],[Origem]],'Perguntas 1 a 24'!$J$28:$K$34,2,FALSE)</f>
        <v>Centro-Oeste</v>
      </c>
      <c r="E3031" s="90" t="s">
        <v>14366</v>
      </c>
      <c r="F3031" s="91">
        <v>47317</v>
      </c>
      <c r="G3031" s="92">
        <v>113998</v>
      </c>
      <c r="H3031" s="90" t="s">
        <v>14</v>
      </c>
      <c r="I30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1" s="90" t="s">
        <v>10644</v>
      </c>
    </row>
    <row r="3032" spans="1:11">
      <c r="A3032" s="90" t="s">
        <v>4118</v>
      </c>
      <c r="B3032" s="90" t="s">
        <v>4119</v>
      </c>
      <c r="C3032" s="90" t="s">
        <v>12</v>
      </c>
      <c r="D3032" s="90" t="str">
        <f>VLOOKUP(Tabela1[[#This Row],[Origem]],'Perguntas 1 a 24'!$J$28:$K$34,2,FALSE)</f>
        <v>Sudeste</v>
      </c>
      <c r="E3032" s="90" t="s">
        <v>14367</v>
      </c>
      <c r="F3032" s="91">
        <v>47317</v>
      </c>
      <c r="G3032" s="92">
        <v>116755</v>
      </c>
      <c r="H3032" s="90" t="s">
        <v>14</v>
      </c>
      <c r="I30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2" s="90" t="s">
        <v>5091</v>
      </c>
    </row>
    <row r="3033" spans="1:11">
      <c r="A3033" s="90" t="s">
        <v>4902</v>
      </c>
      <c r="B3033" s="90" t="s">
        <v>4903</v>
      </c>
      <c r="C3033" s="90" t="s">
        <v>8</v>
      </c>
      <c r="D3033" s="90" t="str">
        <f>VLOOKUP(Tabela1[[#This Row],[Origem]],'Perguntas 1 a 24'!$J$28:$K$34,2,FALSE)</f>
        <v>Nordeste</v>
      </c>
      <c r="E3033" s="90" t="s">
        <v>14368</v>
      </c>
      <c r="F3033" s="91">
        <v>47317</v>
      </c>
      <c r="G3033" s="92">
        <v>75475</v>
      </c>
      <c r="H3033" s="90" t="s">
        <v>14</v>
      </c>
      <c r="I30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3" s="90" t="s">
        <v>7575</v>
      </c>
    </row>
    <row r="3034" spans="1:11">
      <c r="A3034" s="90" t="s">
        <v>7752</v>
      </c>
      <c r="B3034" s="90" t="s">
        <v>7753</v>
      </c>
      <c r="C3034" s="90" t="s">
        <v>6</v>
      </c>
      <c r="D3034" s="90" t="str">
        <f>VLOOKUP(Tabela1[[#This Row],[Origem]],'Perguntas 1 a 24'!$J$28:$K$34,2,FALSE)</f>
        <v>Nordeste</v>
      </c>
      <c r="E3034" s="90" t="s">
        <v>14369</v>
      </c>
      <c r="F3034" s="91">
        <v>47317</v>
      </c>
      <c r="G3034" s="92">
        <v>55685</v>
      </c>
      <c r="H3034" s="90" t="s">
        <v>9</v>
      </c>
      <c r="I30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4" s="90" t="s">
        <v>7279</v>
      </c>
    </row>
    <row r="3035" spans="1:11">
      <c r="A3035" s="90" t="s">
        <v>10643</v>
      </c>
      <c r="B3035" s="90" t="s">
        <v>10644</v>
      </c>
      <c r="C3035" s="90" t="s">
        <v>15</v>
      </c>
      <c r="D3035" s="90" t="str">
        <f>VLOOKUP(Tabela1[[#This Row],[Origem]],'Perguntas 1 a 24'!$J$28:$K$34,2,FALSE)</f>
        <v>Sudeste</v>
      </c>
      <c r="E3035" s="90" t="s">
        <v>14370</v>
      </c>
      <c r="F3035" s="91">
        <v>47317</v>
      </c>
      <c r="G3035" s="92">
        <v>116303</v>
      </c>
      <c r="H3035" s="90" t="s">
        <v>14</v>
      </c>
      <c r="I30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5" s="90" t="s">
        <v>8912</v>
      </c>
    </row>
    <row r="3036" spans="1:11">
      <c r="A3036" s="90" t="s">
        <v>5090</v>
      </c>
      <c r="B3036" s="90" t="s">
        <v>5091</v>
      </c>
      <c r="C3036" s="90" t="s">
        <v>15</v>
      </c>
      <c r="D3036" s="90" t="str">
        <f>VLOOKUP(Tabela1[[#This Row],[Origem]],'Perguntas 1 a 24'!$J$28:$K$34,2,FALSE)</f>
        <v>Sudeste</v>
      </c>
      <c r="E3036" s="90" t="s">
        <v>14371</v>
      </c>
      <c r="F3036" s="91">
        <v>47318</v>
      </c>
      <c r="G3036" s="92">
        <v>34502</v>
      </c>
      <c r="H3036" s="90" t="s">
        <v>11</v>
      </c>
      <c r="I30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6" s="90" t="s">
        <v>11035</v>
      </c>
    </row>
    <row r="3037" spans="1:11">
      <c r="A3037" s="90" t="s">
        <v>7574</v>
      </c>
      <c r="B3037" s="90" t="s">
        <v>7575</v>
      </c>
      <c r="C3037" s="90" t="s">
        <v>8</v>
      </c>
      <c r="D3037" s="90" t="str">
        <f>VLOOKUP(Tabela1[[#This Row],[Origem]],'Perguntas 1 a 24'!$J$28:$K$34,2,FALSE)</f>
        <v>Nordeste</v>
      </c>
      <c r="E3037" s="90" t="s">
        <v>14372</v>
      </c>
      <c r="F3037" s="91">
        <v>47318</v>
      </c>
      <c r="G3037" s="92">
        <v>90471</v>
      </c>
      <c r="H3037" s="90" t="s">
        <v>11</v>
      </c>
      <c r="I30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7" s="90" t="s">
        <v>3857</v>
      </c>
    </row>
    <row r="3038" spans="1:11">
      <c r="A3038" s="90" t="s">
        <v>7278</v>
      </c>
      <c r="B3038" s="90" t="s">
        <v>7279</v>
      </c>
      <c r="C3038" s="90" t="s">
        <v>15</v>
      </c>
      <c r="D3038" s="90" t="str">
        <f>VLOOKUP(Tabela1[[#This Row],[Origem]],'Perguntas 1 a 24'!$J$28:$K$34,2,FALSE)</f>
        <v>Sudeste</v>
      </c>
      <c r="E3038" s="90" t="s">
        <v>14373</v>
      </c>
      <c r="F3038" s="91">
        <v>47319</v>
      </c>
      <c r="G3038" s="92">
        <v>101355</v>
      </c>
      <c r="H3038" s="90" t="s">
        <v>11</v>
      </c>
      <c r="I30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8" s="90" t="s">
        <v>9058</v>
      </c>
    </row>
    <row r="3039" spans="1:11">
      <c r="A3039" s="90" t="s">
        <v>8911</v>
      </c>
      <c r="B3039" s="90" t="s">
        <v>8912</v>
      </c>
      <c r="C3039" s="90" t="s">
        <v>16</v>
      </c>
      <c r="D3039" s="90" t="str">
        <f>VLOOKUP(Tabela1[[#This Row],[Origem]],'Perguntas 1 a 24'!$J$28:$K$34,2,FALSE)</f>
        <v>Sudeste</v>
      </c>
      <c r="E3039" s="90" t="s">
        <v>14374</v>
      </c>
      <c r="F3039" s="91">
        <v>47319</v>
      </c>
      <c r="G3039" s="92">
        <v>74170</v>
      </c>
      <c r="H3039" s="90" t="s">
        <v>9</v>
      </c>
      <c r="I30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39" s="90" t="s">
        <v>4695</v>
      </c>
    </row>
    <row r="3040" spans="1:11">
      <c r="A3040" s="90" t="s">
        <v>11034</v>
      </c>
      <c r="B3040" s="90" t="s">
        <v>11035</v>
      </c>
      <c r="C3040" s="90" t="s">
        <v>16</v>
      </c>
      <c r="D3040" s="90" t="str">
        <f>VLOOKUP(Tabela1[[#This Row],[Origem]],'Perguntas 1 a 24'!$J$28:$K$34,2,FALSE)</f>
        <v>Sudeste</v>
      </c>
      <c r="E3040" s="90" t="s">
        <v>14375</v>
      </c>
      <c r="F3040" s="91">
        <v>47319</v>
      </c>
      <c r="G3040" s="92">
        <v>20421</v>
      </c>
      <c r="H3040" s="90" t="s">
        <v>14</v>
      </c>
      <c r="I30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0" s="90" t="s">
        <v>8756</v>
      </c>
    </row>
    <row r="3041" spans="1:11">
      <c r="A3041" s="90" t="s">
        <v>3856</v>
      </c>
      <c r="B3041" s="90" t="s">
        <v>3857</v>
      </c>
      <c r="C3041" s="90" t="s">
        <v>6</v>
      </c>
      <c r="D3041" s="90" t="str">
        <f>VLOOKUP(Tabela1[[#This Row],[Origem]],'Perguntas 1 a 24'!$J$28:$K$34,2,FALSE)</f>
        <v>Nordeste</v>
      </c>
      <c r="E3041" s="90" t="s">
        <v>14376</v>
      </c>
      <c r="F3041" s="91">
        <v>47321</v>
      </c>
      <c r="G3041" s="92">
        <v>105052</v>
      </c>
      <c r="H3041" s="90" t="s">
        <v>9</v>
      </c>
      <c r="I30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1" s="90" t="s">
        <v>9110</v>
      </c>
    </row>
    <row r="3042" spans="1:11">
      <c r="A3042" s="90" t="s">
        <v>9057</v>
      </c>
      <c r="B3042" s="90" t="s">
        <v>9058</v>
      </c>
      <c r="C3042" s="90" t="s">
        <v>16</v>
      </c>
      <c r="D3042" s="90" t="str">
        <f>VLOOKUP(Tabela1[[#This Row],[Origem]],'Perguntas 1 a 24'!$J$28:$K$34,2,FALSE)</f>
        <v>Sudeste</v>
      </c>
      <c r="E3042" s="90" t="s">
        <v>14377</v>
      </c>
      <c r="F3042" s="91">
        <v>47322</v>
      </c>
      <c r="G3042" s="92">
        <v>29356</v>
      </c>
      <c r="H3042" s="90" t="s">
        <v>9</v>
      </c>
      <c r="I30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2" s="90" t="s">
        <v>4155</v>
      </c>
    </row>
    <row r="3043" spans="1:11">
      <c r="A3043" s="90" t="s">
        <v>4694</v>
      </c>
      <c r="B3043" s="90" t="s">
        <v>4695</v>
      </c>
      <c r="C3043" s="90" t="s">
        <v>10</v>
      </c>
      <c r="D3043" s="90" t="str">
        <f>VLOOKUP(Tabela1[[#This Row],[Origem]],'Perguntas 1 a 24'!$J$28:$K$34,2,FALSE)</f>
        <v>Centro-Oeste</v>
      </c>
      <c r="E3043" s="90" t="s">
        <v>14378</v>
      </c>
      <c r="F3043" s="91">
        <v>47323</v>
      </c>
      <c r="G3043" s="92">
        <v>100710</v>
      </c>
      <c r="H3043" s="90" t="s">
        <v>7</v>
      </c>
      <c r="I30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3" s="90" t="s">
        <v>6391</v>
      </c>
    </row>
    <row r="3044" spans="1:11">
      <c r="A3044" s="90" t="s">
        <v>8755</v>
      </c>
      <c r="B3044" s="90" t="s">
        <v>8756</v>
      </c>
      <c r="C3044" s="90" t="s">
        <v>15</v>
      </c>
      <c r="D3044" s="90" t="str">
        <f>VLOOKUP(Tabela1[[#This Row],[Origem]],'Perguntas 1 a 24'!$J$28:$K$34,2,FALSE)</f>
        <v>Sudeste</v>
      </c>
      <c r="E3044" s="90" t="s">
        <v>14379</v>
      </c>
      <c r="F3044" s="91">
        <v>47324</v>
      </c>
      <c r="G3044" s="92">
        <v>28316</v>
      </c>
      <c r="H3044" s="90" t="s">
        <v>14</v>
      </c>
      <c r="I30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4" s="90" t="s">
        <v>10888</v>
      </c>
    </row>
    <row r="3045" spans="1:11">
      <c r="A3045" s="90" t="s">
        <v>9109</v>
      </c>
      <c r="B3045" s="90" t="s">
        <v>9110</v>
      </c>
      <c r="C3045" s="90" t="s">
        <v>10</v>
      </c>
      <c r="D3045" s="90" t="str">
        <f>VLOOKUP(Tabela1[[#This Row],[Origem]],'Perguntas 1 a 24'!$J$28:$K$34,2,FALSE)</f>
        <v>Centro-Oeste</v>
      </c>
      <c r="E3045" s="90" t="s">
        <v>14380</v>
      </c>
      <c r="F3045" s="91">
        <v>47325</v>
      </c>
      <c r="G3045" s="92">
        <v>85669</v>
      </c>
      <c r="H3045" s="90" t="s">
        <v>9</v>
      </c>
      <c r="I30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5" s="90" t="s">
        <v>5345</v>
      </c>
    </row>
    <row r="3046" spans="1:11">
      <c r="A3046" s="90" t="s">
        <v>4154</v>
      </c>
      <c r="B3046" s="90" t="s">
        <v>4155</v>
      </c>
      <c r="C3046" s="90" t="s">
        <v>15</v>
      </c>
      <c r="D3046" s="90" t="str">
        <f>VLOOKUP(Tabela1[[#This Row],[Origem]],'Perguntas 1 a 24'!$J$28:$K$34,2,FALSE)</f>
        <v>Sudeste</v>
      </c>
      <c r="E3046" s="90" t="s">
        <v>14381</v>
      </c>
      <c r="F3046" s="91">
        <v>47326</v>
      </c>
      <c r="G3046" s="92">
        <v>72146</v>
      </c>
      <c r="H3046" s="90" t="s">
        <v>7</v>
      </c>
      <c r="I30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6" s="90" t="s">
        <v>10466</v>
      </c>
    </row>
    <row r="3047" spans="1:11">
      <c r="A3047" s="90" t="s">
        <v>6390</v>
      </c>
      <c r="B3047" s="90" t="s">
        <v>6391</v>
      </c>
      <c r="C3047" s="90" t="s">
        <v>12</v>
      </c>
      <c r="D3047" s="90" t="str">
        <f>VLOOKUP(Tabela1[[#This Row],[Origem]],'Perguntas 1 a 24'!$J$28:$K$34,2,FALSE)</f>
        <v>Sudeste</v>
      </c>
      <c r="E3047" s="90" t="s">
        <v>14382</v>
      </c>
      <c r="F3047" s="91">
        <v>47326</v>
      </c>
      <c r="G3047" s="92">
        <v>96811</v>
      </c>
      <c r="H3047" s="90" t="s">
        <v>7</v>
      </c>
      <c r="I30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7" s="90" t="s">
        <v>9946</v>
      </c>
    </row>
    <row r="3048" spans="1:11">
      <c r="A3048" s="90" t="s">
        <v>10887</v>
      </c>
      <c r="B3048" s="90" t="s">
        <v>10888</v>
      </c>
      <c r="C3048" s="90" t="s">
        <v>8</v>
      </c>
      <c r="D3048" s="90" t="str">
        <f>VLOOKUP(Tabela1[[#This Row],[Origem]],'Perguntas 1 a 24'!$J$28:$K$34,2,FALSE)</f>
        <v>Nordeste</v>
      </c>
      <c r="E3048" s="90" t="s">
        <v>14383</v>
      </c>
      <c r="F3048" s="91">
        <v>47326</v>
      </c>
      <c r="G3048" s="92">
        <v>95262</v>
      </c>
      <c r="H3048" s="90" t="s">
        <v>14</v>
      </c>
      <c r="I30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8" s="90" t="s">
        <v>7739</v>
      </c>
    </row>
    <row r="3049" spans="1:11">
      <c r="A3049" s="90" t="s">
        <v>5344</v>
      </c>
      <c r="B3049" s="90" t="s">
        <v>5345</v>
      </c>
      <c r="C3049" s="90" t="s">
        <v>6</v>
      </c>
      <c r="D3049" s="90" t="str">
        <f>VLOOKUP(Tabela1[[#This Row],[Origem]],'Perguntas 1 a 24'!$J$28:$K$34,2,FALSE)</f>
        <v>Nordeste</v>
      </c>
      <c r="E3049" s="90" t="s">
        <v>14384</v>
      </c>
      <c r="F3049" s="91">
        <v>47327</v>
      </c>
      <c r="G3049" s="92">
        <v>82916</v>
      </c>
      <c r="H3049" s="90" t="s">
        <v>7</v>
      </c>
      <c r="I30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49" s="90" t="s">
        <v>4340</v>
      </c>
    </row>
    <row r="3050" spans="1:11">
      <c r="A3050" s="90" t="s">
        <v>10465</v>
      </c>
      <c r="B3050" s="90" t="s">
        <v>10466</v>
      </c>
      <c r="C3050" s="90" t="s">
        <v>16</v>
      </c>
      <c r="D3050" s="90" t="str">
        <f>VLOOKUP(Tabela1[[#This Row],[Origem]],'Perguntas 1 a 24'!$J$28:$K$34,2,FALSE)</f>
        <v>Sudeste</v>
      </c>
      <c r="E3050" s="90" t="s">
        <v>14385</v>
      </c>
      <c r="F3050" s="91">
        <v>47328</v>
      </c>
      <c r="G3050" s="92">
        <v>42294</v>
      </c>
      <c r="H3050" s="90" t="s">
        <v>11</v>
      </c>
      <c r="I30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0" s="90" t="s">
        <v>8622</v>
      </c>
    </row>
    <row r="3051" spans="1:11">
      <c r="A3051" s="90" t="s">
        <v>9945</v>
      </c>
      <c r="B3051" s="90" t="s">
        <v>9946</v>
      </c>
      <c r="C3051" s="90" t="s">
        <v>8</v>
      </c>
      <c r="D3051" s="90" t="str">
        <f>VLOOKUP(Tabela1[[#This Row],[Origem]],'Perguntas 1 a 24'!$J$28:$K$34,2,FALSE)</f>
        <v>Nordeste</v>
      </c>
      <c r="E3051" s="90" t="s">
        <v>14386</v>
      </c>
      <c r="F3051" s="91">
        <v>47329</v>
      </c>
      <c r="G3051" s="92">
        <v>113971</v>
      </c>
      <c r="H3051" s="90" t="s">
        <v>7</v>
      </c>
      <c r="I30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1" s="90" t="s">
        <v>4248</v>
      </c>
    </row>
    <row r="3052" spans="1:11">
      <c r="A3052" s="90" t="s">
        <v>7738</v>
      </c>
      <c r="B3052" s="90" t="s">
        <v>7739</v>
      </c>
      <c r="C3052" s="90" t="s">
        <v>6</v>
      </c>
      <c r="D3052" s="90" t="str">
        <f>VLOOKUP(Tabela1[[#This Row],[Origem]],'Perguntas 1 a 24'!$J$28:$K$34,2,FALSE)</f>
        <v>Nordeste</v>
      </c>
      <c r="E3052" s="90" t="s">
        <v>14387</v>
      </c>
      <c r="F3052" s="91">
        <v>47330</v>
      </c>
      <c r="G3052" s="92">
        <v>114255</v>
      </c>
      <c r="H3052" s="90" t="s">
        <v>14</v>
      </c>
      <c r="I30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2" s="90" t="s">
        <v>7139</v>
      </c>
    </row>
    <row r="3053" spans="1:11">
      <c r="A3053" s="90" t="s">
        <v>4339</v>
      </c>
      <c r="B3053" s="90" t="s">
        <v>4340</v>
      </c>
      <c r="C3053" s="90" t="s">
        <v>10</v>
      </c>
      <c r="D3053" s="90" t="str">
        <f>VLOOKUP(Tabela1[[#This Row],[Origem]],'Perguntas 1 a 24'!$J$28:$K$34,2,FALSE)</f>
        <v>Centro-Oeste</v>
      </c>
      <c r="E3053" s="90" t="s">
        <v>14388</v>
      </c>
      <c r="F3053" s="91">
        <v>47331</v>
      </c>
      <c r="G3053" s="92">
        <v>99633</v>
      </c>
      <c r="H3053" s="90" t="s">
        <v>9</v>
      </c>
      <c r="I30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3" s="90" t="s">
        <v>9656</v>
      </c>
    </row>
    <row r="3054" spans="1:11">
      <c r="A3054" s="90" t="s">
        <v>8621</v>
      </c>
      <c r="B3054" s="90" t="s">
        <v>8622</v>
      </c>
      <c r="C3054" s="90" t="s">
        <v>16</v>
      </c>
      <c r="D3054" s="90" t="str">
        <f>VLOOKUP(Tabela1[[#This Row],[Origem]],'Perguntas 1 a 24'!$J$28:$K$34,2,FALSE)</f>
        <v>Sudeste</v>
      </c>
      <c r="E3054" s="90" t="s">
        <v>14389</v>
      </c>
      <c r="F3054" s="91">
        <v>47331</v>
      </c>
      <c r="G3054" s="92">
        <v>100034</v>
      </c>
      <c r="H3054" s="90" t="s">
        <v>7</v>
      </c>
      <c r="I30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4" s="90" t="s">
        <v>7323</v>
      </c>
    </row>
    <row r="3055" spans="1:11">
      <c r="A3055" s="90" t="s">
        <v>4247</v>
      </c>
      <c r="B3055" s="90" t="s">
        <v>4248</v>
      </c>
      <c r="C3055" s="90" t="s">
        <v>8</v>
      </c>
      <c r="D3055" s="90" t="str">
        <f>VLOOKUP(Tabela1[[#This Row],[Origem]],'Perguntas 1 a 24'!$J$28:$K$34,2,FALSE)</f>
        <v>Nordeste</v>
      </c>
      <c r="E3055" s="90" t="s">
        <v>14390</v>
      </c>
      <c r="F3055" s="91">
        <v>47332</v>
      </c>
      <c r="G3055" s="92">
        <v>55561</v>
      </c>
      <c r="H3055" s="90" t="s">
        <v>14</v>
      </c>
      <c r="I30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5" s="90" t="s">
        <v>7677</v>
      </c>
    </row>
    <row r="3056" spans="1:11">
      <c r="A3056" s="90" t="s">
        <v>7138</v>
      </c>
      <c r="B3056" s="90" t="s">
        <v>7139</v>
      </c>
      <c r="C3056" s="90" t="s">
        <v>13</v>
      </c>
      <c r="D3056" s="90" t="str">
        <f>VLOOKUP(Tabela1[[#This Row],[Origem]],'Perguntas 1 a 24'!$J$28:$K$34,2,FALSE)</f>
        <v>Sudeste</v>
      </c>
      <c r="E3056" s="90" t="s">
        <v>14391</v>
      </c>
      <c r="F3056" s="91">
        <v>47332</v>
      </c>
      <c r="G3056" s="92">
        <v>36705</v>
      </c>
      <c r="H3056" s="90" t="s">
        <v>7</v>
      </c>
      <c r="I30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6" s="90" t="s">
        <v>7169</v>
      </c>
    </row>
    <row r="3057" spans="1:11">
      <c r="A3057" s="90" t="s">
        <v>9655</v>
      </c>
      <c r="B3057" s="90" t="s">
        <v>9656</v>
      </c>
      <c r="C3057" s="90" t="s">
        <v>16</v>
      </c>
      <c r="D3057" s="90" t="str">
        <f>VLOOKUP(Tabela1[[#This Row],[Origem]],'Perguntas 1 a 24'!$J$28:$K$34,2,FALSE)</f>
        <v>Sudeste</v>
      </c>
      <c r="E3057" s="90" t="s">
        <v>14392</v>
      </c>
      <c r="F3057" s="91">
        <v>47333</v>
      </c>
      <c r="G3057" s="92">
        <v>93829</v>
      </c>
      <c r="H3057" s="90" t="s">
        <v>7</v>
      </c>
      <c r="I30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7" s="90" t="s">
        <v>9718</v>
      </c>
    </row>
    <row r="3058" spans="1:11">
      <c r="A3058" s="90" t="s">
        <v>7322</v>
      </c>
      <c r="B3058" s="90" t="s">
        <v>7323</v>
      </c>
      <c r="C3058" s="90" t="s">
        <v>10</v>
      </c>
      <c r="D3058" s="90" t="str">
        <f>VLOOKUP(Tabela1[[#This Row],[Origem]],'Perguntas 1 a 24'!$J$28:$K$34,2,FALSE)</f>
        <v>Centro-Oeste</v>
      </c>
      <c r="E3058" s="90" t="s">
        <v>14393</v>
      </c>
      <c r="F3058" s="91">
        <v>47334</v>
      </c>
      <c r="G3058" s="92">
        <v>57097</v>
      </c>
      <c r="H3058" s="90" t="s">
        <v>14</v>
      </c>
      <c r="I30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8" s="90" t="s">
        <v>3975</v>
      </c>
    </row>
    <row r="3059" spans="1:11">
      <c r="A3059" s="90" t="s">
        <v>7676</v>
      </c>
      <c r="B3059" s="90" t="s">
        <v>7677</v>
      </c>
      <c r="C3059" s="90" t="s">
        <v>6</v>
      </c>
      <c r="D3059" s="90" t="str">
        <f>VLOOKUP(Tabela1[[#This Row],[Origem]],'Perguntas 1 a 24'!$J$28:$K$34,2,FALSE)</f>
        <v>Nordeste</v>
      </c>
      <c r="E3059" s="90" t="s">
        <v>14394</v>
      </c>
      <c r="F3059" s="91">
        <v>47334</v>
      </c>
      <c r="G3059" s="92">
        <v>46694</v>
      </c>
      <c r="H3059" s="90" t="s">
        <v>9</v>
      </c>
      <c r="I30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59" s="90" t="s">
        <v>6023</v>
      </c>
    </row>
    <row r="3060" spans="1:11">
      <c r="A3060" s="90" t="s">
        <v>7168</v>
      </c>
      <c r="B3060" s="90" t="s">
        <v>7169</v>
      </c>
      <c r="C3060" s="90" t="s">
        <v>16</v>
      </c>
      <c r="D3060" s="90" t="str">
        <f>VLOOKUP(Tabela1[[#This Row],[Origem]],'Perguntas 1 a 24'!$J$28:$K$34,2,FALSE)</f>
        <v>Sudeste</v>
      </c>
      <c r="E3060" s="90" t="s">
        <v>14395</v>
      </c>
      <c r="F3060" s="91">
        <v>47335</v>
      </c>
      <c r="G3060" s="92">
        <v>73679</v>
      </c>
      <c r="H3060" s="90" t="s">
        <v>14</v>
      </c>
      <c r="I30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0" s="90" t="s">
        <v>9928</v>
      </c>
    </row>
    <row r="3061" spans="1:11">
      <c r="A3061" s="90" t="s">
        <v>9717</v>
      </c>
      <c r="B3061" s="90" t="s">
        <v>9718</v>
      </c>
      <c r="C3061" s="90" t="s">
        <v>10</v>
      </c>
      <c r="D3061" s="90" t="str">
        <f>VLOOKUP(Tabela1[[#This Row],[Origem]],'Perguntas 1 a 24'!$J$28:$K$34,2,FALSE)</f>
        <v>Centro-Oeste</v>
      </c>
      <c r="E3061" s="90" t="s">
        <v>14396</v>
      </c>
      <c r="F3061" s="91">
        <v>47335</v>
      </c>
      <c r="G3061" s="92">
        <v>63769</v>
      </c>
      <c r="H3061" s="90" t="s">
        <v>7</v>
      </c>
      <c r="I30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1" s="90" t="s">
        <v>4318</v>
      </c>
    </row>
    <row r="3062" spans="1:11">
      <c r="A3062" s="90" t="s">
        <v>3974</v>
      </c>
      <c r="B3062" s="90" t="s">
        <v>3975</v>
      </c>
      <c r="C3062" s="90" t="s">
        <v>10</v>
      </c>
      <c r="D3062" s="90" t="str">
        <f>VLOOKUP(Tabela1[[#This Row],[Origem]],'Perguntas 1 a 24'!$J$28:$K$34,2,FALSE)</f>
        <v>Centro-Oeste</v>
      </c>
      <c r="E3062" s="90" t="s">
        <v>14397</v>
      </c>
      <c r="F3062" s="91">
        <v>47336</v>
      </c>
      <c r="G3062" s="92">
        <v>46465</v>
      </c>
      <c r="H3062" s="90" t="s">
        <v>7</v>
      </c>
      <c r="I30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2" s="90" t="s">
        <v>10510</v>
      </c>
    </row>
    <row r="3063" spans="1:11">
      <c r="A3063" s="90" t="s">
        <v>6022</v>
      </c>
      <c r="B3063" s="90" t="s">
        <v>6023</v>
      </c>
      <c r="C3063" s="90" t="s">
        <v>6</v>
      </c>
      <c r="D3063" s="90" t="str">
        <f>VLOOKUP(Tabela1[[#This Row],[Origem]],'Perguntas 1 a 24'!$J$28:$K$34,2,FALSE)</f>
        <v>Nordeste</v>
      </c>
      <c r="E3063" s="90" t="s">
        <v>14398</v>
      </c>
      <c r="F3063" s="91">
        <v>47336</v>
      </c>
      <c r="G3063" s="92">
        <v>72685</v>
      </c>
      <c r="H3063" s="90" t="s">
        <v>11</v>
      </c>
      <c r="I30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3" s="90" t="s">
        <v>7301</v>
      </c>
    </row>
    <row r="3064" spans="1:11">
      <c r="A3064" s="90" t="s">
        <v>9927</v>
      </c>
      <c r="B3064" s="90" t="s">
        <v>9928</v>
      </c>
      <c r="C3064" s="90" t="s">
        <v>6</v>
      </c>
      <c r="D3064" s="90" t="str">
        <f>VLOOKUP(Tabela1[[#This Row],[Origem]],'Perguntas 1 a 24'!$J$28:$K$34,2,FALSE)</f>
        <v>Nordeste</v>
      </c>
      <c r="E3064" s="90" t="s">
        <v>14399</v>
      </c>
      <c r="F3064" s="91">
        <v>47338</v>
      </c>
      <c r="G3064" s="92">
        <v>55920</v>
      </c>
      <c r="H3064" s="90" t="s">
        <v>11</v>
      </c>
      <c r="I30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4" s="90" t="s">
        <v>8556</v>
      </c>
    </row>
    <row r="3065" spans="1:11">
      <c r="A3065" s="90" t="s">
        <v>4317</v>
      </c>
      <c r="B3065" s="90" t="s">
        <v>4318</v>
      </c>
      <c r="C3065" s="90" t="s">
        <v>12</v>
      </c>
      <c r="D3065" s="90" t="str">
        <f>VLOOKUP(Tabela1[[#This Row],[Origem]],'Perguntas 1 a 24'!$J$28:$K$34,2,FALSE)</f>
        <v>Sudeste</v>
      </c>
      <c r="E3065" s="90" t="s">
        <v>14400</v>
      </c>
      <c r="F3065" s="91">
        <v>47339</v>
      </c>
      <c r="G3065" s="92">
        <v>54074</v>
      </c>
      <c r="H3065" s="90" t="s">
        <v>11</v>
      </c>
      <c r="I30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5" s="90" t="s">
        <v>10620</v>
      </c>
    </row>
    <row r="3066" spans="1:11">
      <c r="A3066" s="90" t="s">
        <v>10509</v>
      </c>
      <c r="B3066" s="90" t="s">
        <v>10510</v>
      </c>
      <c r="C3066" s="90" t="s">
        <v>8</v>
      </c>
      <c r="D3066" s="90" t="str">
        <f>VLOOKUP(Tabela1[[#This Row],[Origem]],'Perguntas 1 a 24'!$J$28:$K$34,2,FALSE)</f>
        <v>Nordeste</v>
      </c>
      <c r="E3066" s="90" t="s">
        <v>14401</v>
      </c>
      <c r="F3066" s="91">
        <v>47339</v>
      </c>
      <c r="G3066" s="92">
        <v>83147</v>
      </c>
      <c r="H3066" s="90" t="s">
        <v>7</v>
      </c>
      <c r="I30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6" s="90" t="s">
        <v>4797</v>
      </c>
    </row>
    <row r="3067" spans="1:11">
      <c r="A3067" s="90" t="s">
        <v>7300</v>
      </c>
      <c r="B3067" s="90" t="s">
        <v>7301</v>
      </c>
      <c r="C3067" s="90" t="s">
        <v>8</v>
      </c>
      <c r="D3067" s="90" t="str">
        <f>VLOOKUP(Tabela1[[#This Row],[Origem]],'Perguntas 1 a 24'!$J$28:$K$34,2,FALSE)</f>
        <v>Nordeste</v>
      </c>
      <c r="E3067" s="90" t="s">
        <v>14402</v>
      </c>
      <c r="F3067" s="91">
        <v>47340</v>
      </c>
      <c r="G3067" s="92">
        <v>54865</v>
      </c>
      <c r="H3067" s="90" t="s">
        <v>7</v>
      </c>
      <c r="I30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7" s="90" t="s">
        <v>7425</v>
      </c>
    </row>
    <row r="3068" spans="1:11">
      <c r="A3068" s="90" t="s">
        <v>8555</v>
      </c>
      <c r="B3068" s="90" t="s">
        <v>8556</v>
      </c>
      <c r="C3068" s="90" t="s">
        <v>8</v>
      </c>
      <c r="D3068" s="90" t="str">
        <f>VLOOKUP(Tabela1[[#This Row],[Origem]],'Perguntas 1 a 24'!$J$28:$K$34,2,FALSE)</f>
        <v>Nordeste</v>
      </c>
      <c r="E3068" s="90" t="s">
        <v>14403</v>
      </c>
      <c r="F3068" s="91">
        <v>47340</v>
      </c>
      <c r="G3068" s="92">
        <v>69254</v>
      </c>
      <c r="H3068" s="90" t="s">
        <v>14</v>
      </c>
      <c r="I30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8" s="90" t="s">
        <v>7277</v>
      </c>
    </row>
    <row r="3069" spans="1:11">
      <c r="A3069" s="90" t="s">
        <v>10619</v>
      </c>
      <c r="B3069" s="90" t="s">
        <v>10620</v>
      </c>
      <c r="C3069" s="90" t="s">
        <v>10</v>
      </c>
      <c r="D3069" s="90" t="str">
        <f>VLOOKUP(Tabela1[[#This Row],[Origem]],'Perguntas 1 a 24'!$J$28:$K$34,2,FALSE)</f>
        <v>Centro-Oeste</v>
      </c>
      <c r="E3069" s="90" t="s">
        <v>14404</v>
      </c>
      <c r="F3069" s="91">
        <v>47340</v>
      </c>
      <c r="G3069" s="92">
        <v>24094</v>
      </c>
      <c r="H3069" s="90" t="s">
        <v>7</v>
      </c>
      <c r="I30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69" s="90" t="s">
        <v>11081</v>
      </c>
    </row>
    <row r="3070" spans="1:11">
      <c r="A3070" s="90" t="s">
        <v>4796</v>
      </c>
      <c r="B3070" s="90" t="s">
        <v>4797</v>
      </c>
      <c r="C3070" s="90" t="s">
        <v>10</v>
      </c>
      <c r="D3070" s="90" t="str">
        <f>VLOOKUP(Tabela1[[#This Row],[Origem]],'Perguntas 1 a 24'!$J$28:$K$34,2,FALSE)</f>
        <v>Centro-Oeste</v>
      </c>
      <c r="E3070" s="90" t="s">
        <v>14405</v>
      </c>
      <c r="F3070" s="91">
        <v>47341</v>
      </c>
      <c r="G3070" s="92">
        <v>112810</v>
      </c>
      <c r="H3070" s="90" t="s">
        <v>9</v>
      </c>
      <c r="I30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0" s="90" t="s">
        <v>5945</v>
      </c>
    </row>
    <row r="3071" spans="1:11">
      <c r="A3071" s="90" t="s">
        <v>7424</v>
      </c>
      <c r="B3071" s="90" t="s">
        <v>7425</v>
      </c>
      <c r="C3071" s="90" t="s">
        <v>8</v>
      </c>
      <c r="D3071" s="90" t="str">
        <f>VLOOKUP(Tabela1[[#This Row],[Origem]],'Perguntas 1 a 24'!$J$28:$K$34,2,FALSE)</f>
        <v>Nordeste</v>
      </c>
      <c r="E3071" s="90" t="s">
        <v>14406</v>
      </c>
      <c r="F3071" s="91">
        <v>47341</v>
      </c>
      <c r="G3071" s="92">
        <v>33784</v>
      </c>
      <c r="H3071" s="90" t="s">
        <v>7</v>
      </c>
      <c r="I30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1" s="90" t="s">
        <v>7331</v>
      </c>
    </row>
    <row r="3072" spans="1:11">
      <c r="A3072" s="90" t="s">
        <v>7276</v>
      </c>
      <c r="B3072" s="90" t="s">
        <v>7277</v>
      </c>
      <c r="C3072" s="90" t="s">
        <v>10</v>
      </c>
      <c r="D3072" s="90" t="str">
        <f>VLOOKUP(Tabela1[[#This Row],[Origem]],'Perguntas 1 a 24'!$J$28:$K$34,2,FALSE)</f>
        <v>Centro-Oeste</v>
      </c>
      <c r="E3072" s="90" t="s">
        <v>14407</v>
      </c>
      <c r="F3072" s="91">
        <v>47342</v>
      </c>
      <c r="G3072" s="92">
        <v>27603</v>
      </c>
      <c r="H3072" s="90" t="s">
        <v>14</v>
      </c>
      <c r="I30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2" s="90" t="s">
        <v>10094</v>
      </c>
    </row>
    <row r="3073" spans="1:11">
      <c r="A3073" s="90" t="s">
        <v>11080</v>
      </c>
      <c r="B3073" s="90" t="s">
        <v>11081</v>
      </c>
      <c r="C3073" s="90" t="s">
        <v>13</v>
      </c>
      <c r="D3073" s="90" t="str">
        <f>VLOOKUP(Tabela1[[#This Row],[Origem]],'Perguntas 1 a 24'!$J$28:$K$34,2,FALSE)</f>
        <v>Sudeste</v>
      </c>
      <c r="E3073" s="90" t="s">
        <v>14408</v>
      </c>
      <c r="F3073" s="91">
        <v>47342</v>
      </c>
      <c r="G3073" s="92">
        <v>86772</v>
      </c>
      <c r="H3073" s="90" t="s">
        <v>9</v>
      </c>
      <c r="I30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3" s="90" t="s">
        <v>8636</v>
      </c>
    </row>
    <row r="3074" spans="1:11">
      <c r="A3074" s="90" t="s">
        <v>5944</v>
      </c>
      <c r="B3074" s="90" t="s">
        <v>5945</v>
      </c>
      <c r="C3074" s="90" t="s">
        <v>15</v>
      </c>
      <c r="D3074" s="90" t="str">
        <f>VLOOKUP(Tabela1[[#This Row],[Origem]],'Perguntas 1 a 24'!$J$28:$K$34,2,FALSE)</f>
        <v>Sudeste</v>
      </c>
      <c r="E3074" s="90" t="s">
        <v>14409</v>
      </c>
      <c r="F3074" s="91">
        <v>47344</v>
      </c>
      <c r="G3074" s="92">
        <v>23933</v>
      </c>
      <c r="H3074" s="90" t="s">
        <v>14</v>
      </c>
      <c r="I30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4" s="90" t="s">
        <v>4041</v>
      </c>
    </row>
    <row r="3075" spans="1:11">
      <c r="A3075" s="90" t="s">
        <v>7330</v>
      </c>
      <c r="B3075" s="90" t="s">
        <v>7331</v>
      </c>
      <c r="C3075" s="90" t="s">
        <v>15</v>
      </c>
      <c r="D3075" s="90" t="str">
        <f>VLOOKUP(Tabela1[[#This Row],[Origem]],'Perguntas 1 a 24'!$J$28:$K$34,2,FALSE)</f>
        <v>Sudeste</v>
      </c>
      <c r="E3075" s="90" t="s">
        <v>14410</v>
      </c>
      <c r="F3075" s="91">
        <v>47344</v>
      </c>
      <c r="G3075" s="92">
        <v>52412</v>
      </c>
      <c r="H3075" s="90" t="s">
        <v>11</v>
      </c>
      <c r="I30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5" s="90" t="s">
        <v>6011</v>
      </c>
    </row>
    <row r="3076" spans="1:11">
      <c r="A3076" s="90" t="s">
        <v>10093</v>
      </c>
      <c r="B3076" s="90" t="s">
        <v>10094</v>
      </c>
      <c r="C3076" s="90" t="s">
        <v>16</v>
      </c>
      <c r="D3076" s="90" t="str">
        <f>VLOOKUP(Tabela1[[#This Row],[Origem]],'Perguntas 1 a 24'!$J$28:$K$34,2,FALSE)</f>
        <v>Sudeste</v>
      </c>
      <c r="E3076" s="90" t="s">
        <v>14411</v>
      </c>
      <c r="F3076" s="91">
        <v>47344</v>
      </c>
      <c r="G3076" s="92">
        <v>22239</v>
      </c>
      <c r="H3076" s="90" t="s">
        <v>11</v>
      </c>
      <c r="I30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6" s="90" t="s">
        <v>9702</v>
      </c>
    </row>
    <row r="3077" spans="1:11">
      <c r="A3077" s="90" t="s">
        <v>8635</v>
      </c>
      <c r="B3077" s="90" t="s">
        <v>8636</v>
      </c>
      <c r="C3077" s="90" t="s">
        <v>15</v>
      </c>
      <c r="D3077" s="90" t="str">
        <f>VLOOKUP(Tabela1[[#This Row],[Origem]],'Perguntas 1 a 24'!$J$28:$K$34,2,FALSE)</f>
        <v>Sudeste</v>
      </c>
      <c r="E3077" s="90" t="s">
        <v>14412</v>
      </c>
      <c r="F3077" s="91">
        <v>47346</v>
      </c>
      <c r="G3077" s="92">
        <v>44449</v>
      </c>
      <c r="H3077" s="90" t="s">
        <v>7</v>
      </c>
      <c r="I30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7" s="90" t="s">
        <v>5639</v>
      </c>
    </row>
    <row r="3078" spans="1:11">
      <c r="A3078" s="90" t="s">
        <v>4040</v>
      </c>
      <c r="B3078" s="90" t="s">
        <v>4041</v>
      </c>
      <c r="C3078" s="90" t="s">
        <v>13</v>
      </c>
      <c r="D3078" s="90" t="str">
        <f>VLOOKUP(Tabela1[[#This Row],[Origem]],'Perguntas 1 a 24'!$J$28:$K$34,2,FALSE)</f>
        <v>Sudeste</v>
      </c>
      <c r="E3078" s="90" t="s">
        <v>14413</v>
      </c>
      <c r="F3078" s="91">
        <v>47348</v>
      </c>
      <c r="G3078" s="92">
        <v>76728</v>
      </c>
      <c r="H3078" s="90" t="s">
        <v>14</v>
      </c>
      <c r="I30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8" s="90" t="s">
        <v>5705</v>
      </c>
    </row>
    <row r="3079" spans="1:11">
      <c r="A3079" s="90" t="s">
        <v>6010</v>
      </c>
      <c r="B3079" s="90" t="s">
        <v>6011</v>
      </c>
      <c r="C3079" s="90" t="s">
        <v>16</v>
      </c>
      <c r="D3079" s="90" t="str">
        <f>VLOOKUP(Tabela1[[#This Row],[Origem]],'Perguntas 1 a 24'!$J$28:$K$34,2,FALSE)</f>
        <v>Sudeste</v>
      </c>
      <c r="E3079" s="90" t="s">
        <v>14414</v>
      </c>
      <c r="F3079" s="91">
        <v>47348</v>
      </c>
      <c r="G3079" s="92">
        <v>55574</v>
      </c>
      <c r="H3079" s="90" t="s">
        <v>14</v>
      </c>
      <c r="I30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79" s="90" t="s">
        <v>7413</v>
      </c>
    </row>
    <row r="3080" spans="1:11">
      <c r="A3080" s="90" t="s">
        <v>9701</v>
      </c>
      <c r="B3080" s="90" t="s">
        <v>9702</v>
      </c>
      <c r="C3080" s="90" t="s">
        <v>15</v>
      </c>
      <c r="D3080" s="90" t="str">
        <f>VLOOKUP(Tabela1[[#This Row],[Origem]],'Perguntas 1 a 24'!$J$28:$K$34,2,FALSE)</f>
        <v>Sudeste</v>
      </c>
      <c r="E3080" s="90" t="s">
        <v>14415</v>
      </c>
      <c r="F3080" s="91">
        <v>47348</v>
      </c>
      <c r="G3080" s="92">
        <v>53940</v>
      </c>
      <c r="H3080" s="90" t="s">
        <v>9</v>
      </c>
      <c r="I30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0" s="90" t="s">
        <v>4095</v>
      </c>
    </row>
    <row r="3081" spans="1:11">
      <c r="A3081" s="90" t="s">
        <v>5638</v>
      </c>
      <c r="B3081" s="90" t="s">
        <v>5639</v>
      </c>
      <c r="C3081" s="90" t="s">
        <v>10</v>
      </c>
      <c r="D3081" s="90" t="str">
        <f>VLOOKUP(Tabela1[[#This Row],[Origem]],'Perguntas 1 a 24'!$J$28:$K$34,2,FALSE)</f>
        <v>Centro-Oeste</v>
      </c>
      <c r="E3081" s="90" t="s">
        <v>14416</v>
      </c>
      <c r="F3081" s="91">
        <v>47349</v>
      </c>
      <c r="G3081" s="92">
        <v>55065</v>
      </c>
      <c r="H3081" s="90" t="s">
        <v>14</v>
      </c>
      <c r="I30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1" s="90" t="s">
        <v>9396</v>
      </c>
    </row>
    <row r="3082" spans="1:11">
      <c r="A3082" s="90" t="s">
        <v>5704</v>
      </c>
      <c r="B3082" s="90" t="s">
        <v>5705</v>
      </c>
      <c r="C3082" s="90" t="s">
        <v>12</v>
      </c>
      <c r="D3082" s="90" t="str">
        <f>VLOOKUP(Tabela1[[#This Row],[Origem]],'Perguntas 1 a 24'!$J$28:$K$34,2,FALSE)</f>
        <v>Sudeste</v>
      </c>
      <c r="E3082" s="90" t="s">
        <v>14417</v>
      </c>
      <c r="F3082" s="91">
        <v>47349</v>
      </c>
      <c r="G3082" s="92">
        <v>64780</v>
      </c>
      <c r="H3082" s="90" t="s">
        <v>7</v>
      </c>
      <c r="I30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2" s="90" t="s">
        <v>7071</v>
      </c>
    </row>
    <row r="3083" spans="1:11">
      <c r="A3083" s="90" t="s">
        <v>7412</v>
      </c>
      <c r="B3083" s="90" t="s">
        <v>7413</v>
      </c>
      <c r="C3083" s="90" t="s">
        <v>15</v>
      </c>
      <c r="D3083" s="90" t="str">
        <f>VLOOKUP(Tabela1[[#This Row],[Origem]],'Perguntas 1 a 24'!$J$28:$K$34,2,FALSE)</f>
        <v>Sudeste</v>
      </c>
      <c r="E3083" s="90" t="s">
        <v>14418</v>
      </c>
      <c r="F3083" s="91">
        <v>47349</v>
      </c>
      <c r="G3083" s="92">
        <v>35887</v>
      </c>
      <c r="H3083" s="90" t="s">
        <v>7</v>
      </c>
      <c r="I30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3" s="90" t="s">
        <v>8658</v>
      </c>
    </row>
    <row r="3084" spans="1:11">
      <c r="A3084" s="90" t="s">
        <v>4094</v>
      </c>
      <c r="B3084" s="90" t="s">
        <v>4095</v>
      </c>
      <c r="C3084" s="90" t="s">
        <v>13</v>
      </c>
      <c r="D3084" s="90" t="str">
        <f>VLOOKUP(Tabela1[[#This Row],[Origem]],'Perguntas 1 a 24'!$J$28:$K$34,2,FALSE)</f>
        <v>Sudeste</v>
      </c>
      <c r="E3084" s="90" t="s">
        <v>14419</v>
      </c>
      <c r="F3084" s="91">
        <v>47351</v>
      </c>
      <c r="G3084" s="92">
        <v>44466</v>
      </c>
      <c r="H3084" s="90" t="s">
        <v>11</v>
      </c>
      <c r="I30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4" s="90" t="s">
        <v>5209</v>
      </c>
    </row>
    <row r="3085" spans="1:11">
      <c r="A3085" s="90" t="s">
        <v>9395</v>
      </c>
      <c r="B3085" s="90" t="s">
        <v>9396</v>
      </c>
      <c r="C3085" s="90" t="s">
        <v>15</v>
      </c>
      <c r="D3085" s="90" t="str">
        <f>VLOOKUP(Tabela1[[#This Row],[Origem]],'Perguntas 1 a 24'!$J$28:$K$34,2,FALSE)</f>
        <v>Sudeste</v>
      </c>
      <c r="E3085" s="90" t="s">
        <v>14420</v>
      </c>
      <c r="F3085" s="91">
        <v>47352</v>
      </c>
      <c r="G3085" s="92">
        <v>82101</v>
      </c>
      <c r="H3085" s="90" t="s">
        <v>11</v>
      </c>
      <c r="I30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5" s="90" t="s">
        <v>8766</v>
      </c>
    </row>
    <row r="3086" spans="1:11">
      <c r="A3086" s="90" t="s">
        <v>7070</v>
      </c>
      <c r="B3086" s="90" t="s">
        <v>7071</v>
      </c>
      <c r="C3086" s="90" t="s">
        <v>15</v>
      </c>
      <c r="D3086" s="90" t="str">
        <f>VLOOKUP(Tabela1[[#This Row],[Origem]],'Perguntas 1 a 24'!$J$28:$K$34,2,FALSE)</f>
        <v>Sudeste</v>
      </c>
      <c r="E3086" s="90" t="s">
        <v>14421</v>
      </c>
      <c r="F3086" s="91">
        <v>47353</v>
      </c>
      <c r="G3086" s="92">
        <v>59476</v>
      </c>
      <c r="H3086" s="90" t="s">
        <v>9</v>
      </c>
      <c r="I30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6" s="90" t="s">
        <v>11176</v>
      </c>
    </row>
    <row r="3087" spans="1:11">
      <c r="A3087" s="90" t="s">
        <v>8657</v>
      </c>
      <c r="B3087" s="90" t="s">
        <v>8658</v>
      </c>
      <c r="C3087" s="90" t="s">
        <v>6</v>
      </c>
      <c r="D3087" s="90" t="str">
        <f>VLOOKUP(Tabela1[[#This Row],[Origem]],'Perguntas 1 a 24'!$J$28:$K$34,2,FALSE)</f>
        <v>Nordeste</v>
      </c>
      <c r="E3087" s="90" t="s">
        <v>14422</v>
      </c>
      <c r="F3087" s="91">
        <v>47354</v>
      </c>
      <c r="G3087" s="92">
        <v>58133</v>
      </c>
      <c r="H3087" s="90" t="s">
        <v>7</v>
      </c>
      <c r="I30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7" s="90" t="s">
        <v>8558</v>
      </c>
    </row>
    <row r="3088" spans="1:11">
      <c r="A3088" s="90" t="s">
        <v>5208</v>
      </c>
      <c r="B3088" s="90" t="s">
        <v>5209</v>
      </c>
      <c r="C3088" s="90" t="s">
        <v>15</v>
      </c>
      <c r="D3088" s="90" t="str">
        <f>VLOOKUP(Tabela1[[#This Row],[Origem]],'Perguntas 1 a 24'!$J$28:$K$34,2,FALSE)</f>
        <v>Sudeste</v>
      </c>
      <c r="E3088" s="90" t="s">
        <v>14423</v>
      </c>
      <c r="F3088" s="91">
        <v>47356</v>
      </c>
      <c r="G3088" s="92">
        <v>42515</v>
      </c>
      <c r="H3088" s="90" t="s">
        <v>11</v>
      </c>
      <c r="I30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8" s="90" t="s">
        <v>9254</v>
      </c>
    </row>
    <row r="3089" spans="1:11">
      <c r="A3089" s="90" t="s">
        <v>8765</v>
      </c>
      <c r="B3089" s="90" t="s">
        <v>8766</v>
      </c>
      <c r="C3089" s="90" t="s">
        <v>10</v>
      </c>
      <c r="D3089" s="90" t="str">
        <f>VLOOKUP(Tabela1[[#This Row],[Origem]],'Perguntas 1 a 24'!$J$28:$K$34,2,FALSE)</f>
        <v>Centro-Oeste</v>
      </c>
      <c r="E3089" s="90" t="s">
        <v>14424</v>
      </c>
      <c r="F3089" s="91">
        <v>47356</v>
      </c>
      <c r="G3089" s="92">
        <v>31845</v>
      </c>
      <c r="H3089" s="90" t="s">
        <v>14</v>
      </c>
      <c r="I30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89" s="90" t="s">
        <v>10572</v>
      </c>
    </row>
    <row r="3090" spans="1:11">
      <c r="A3090" s="90" t="s">
        <v>11175</v>
      </c>
      <c r="B3090" s="90" t="s">
        <v>11176</v>
      </c>
      <c r="C3090" s="90" t="s">
        <v>8</v>
      </c>
      <c r="D3090" s="90" t="str">
        <f>VLOOKUP(Tabela1[[#This Row],[Origem]],'Perguntas 1 a 24'!$J$28:$K$34,2,FALSE)</f>
        <v>Nordeste</v>
      </c>
      <c r="E3090" s="90" t="s">
        <v>14425</v>
      </c>
      <c r="F3090" s="91">
        <v>47356</v>
      </c>
      <c r="G3090" s="92">
        <v>97887</v>
      </c>
      <c r="H3090" s="90" t="s">
        <v>9</v>
      </c>
      <c r="I30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0" s="90" t="s">
        <v>8141</v>
      </c>
    </row>
    <row r="3091" spans="1:11">
      <c r="A3091" s="90" t="s">
        <v>8557</v>
      </c>
      <c r="B3091" s="90" t="s">
        <v>8558</v>
      </c>
      <c r="C3091" s="90" t="s">
        <v>15</v>
      </c>
      <c r="D3091" s="90" t="str">
        <f>VLOOKUP(Tabela1[[#This Row],[Origem]],'Perguntas 1 a 24'!$J$28:$K$34,2,FALSE)</f>
        <v>Sudeste</v>
      </c>
      <c r="E3091" s="90" t="s">
        <v>14426</v>
      </c>
      <c r="F3091" s="91">
        <v>47357</v>
      </c>
      <c r="G3091" s="92">
        <v>25791</v>
      </c>
      <c r="H3091" s="90" t="s">
        <v>11</v>
      </c>
      <c r="I30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1" s="90" t="s">
        <v>8473</v>
      </c>
    </row>
    <row r="3092" spans="1:11">
      <c r="A3092" s="90" t="s">
        <v>9253</v>
      </c>
      <c r="B3092" s="90" t="s">
        <v>9254</v>
      </c>
      <c r="C3092" s="90" t="s">
        <v>12</v>
      </c>
      <c r="D3092" s="90" t="str">
        <f>VLOOKUP(Tabela1[[#This Row],[Origem]],'Perguntas 1 a 24'!$J$28:$K$34,2,FALSE)</f>
        <v>Sudeste</v>
      </c>
      <c r="E3092" s="90" t="s">
        <v>14427</v>
      </c>
      <c r="F3092" s="91">
        <v>47357</v>
      </c>
      <c r="G3092" s="92">
        <v>64710</v>
      </c>
      <c r="H3092" s="90" t="s">
        <v>7</v>
      </c>
      <c r="I30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2" s="90" t="s">
        <v>10132</v>
      </c>
    </row>
    <row r="3093" spans="1:11">
      <c r="A3093" s="90" t="s">
        <v>10571</v>
      </c>
      <c r="B3093" s="90" t="s">
        <v>10572</v>
      </c>
      <c r="C3093" s="90" t="s">
        <v>6</v>
      </c>
      <c r="D3093" s="90" t="str">
        <f>VLOOKUP(Tabela1[[#This Row],[Origem]],'Perguntas 1 a 24'!$J$28:$K$34,2,FALSE)</f>
        <v>Nordeste</v>
      </c>
      <c r="E3093" s="90" t="s">
        <v>14428</v>
      </c>
      <c r="F3093" s="91">
        <v>47357</v>
      </c>
      <c r="G3093" s="92">
        <v>112278</v>
      </c>
      <c r="H3093" s="90" t="s">
        <v>11</v>
      </c>
      <c r="I30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3" s="90" t="s">
        <v>3711</v>
      </c>
    </row>
    <row r="3094" spans="1:11">
      <c r="A3094" s="90" t="s">
        <v>8140</v>
      </c>
      <c r="B3094" s="90" t="s">
        <v>8141</v>
      </c>
      <c r="C3094" s="90" t="s">
        <v>16</v>
      </c>
      <c r="D3094" s="90" t="str">
        <f>VLOOKUP(Tabela1[[#This Row],[Origem]],'Perguntas 1 a 24'!$J$28:$K$34,2,FALSE)</f>
        <v>Sudeste</v>
      </c>
      <c r="E3094" s="90" t="s">
        <v>14429</v>
      </c>
      <c r="F3094" s="91">
        <v>47358</v>
      </c>
      <c r="G3094" s="92">
        <v>87722</v>
      </c>
      <c r="H3094" s="90" t="s">
        <v>9</v>
      </c>
      <c r="I30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4" s="90" t="s">
        <v>7417</v>
      </c>
    </row>
    <row r="3095" spans="1:11">
      <c r="A3095" s="90" t="s">
        <v>8472</v>
      </c>
      <c r="B3095" s="90" t="s">
        <v>8473</v>
      </c>
      <c r="C3095" s="90" t="s">
        <v>16</v>
      </c>
      <c r="D3095" s="90" t="str">
        <f>VLOOKUP(Tabela1[[#This Row],[Origem]],'Perguntas 1 a 24'!$J$28:$K$34,2,FALSE)</f>
        <v>Sudeste</v>
      </c>
      <c r="E3095" s="90" t="s">
        <v>14430</v>
      </c>
      <c r="F3095" s="91">
        <v>47358</v>
      </c>
      <c r="G3095" s="92">
        <v>61388</v>
      </c>
      <c r="H3095" s="90" t="s">
        <v>9</v>
      </c>
      <c r="I30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5" s="90" t="s">
        <v>7555</v>
      </c>
    </row>
    <row r="3096" spans="1:11">
      <c r="A3096" s="90" t="s">
        <v>10131</v>
      </c>
      <c r="B3096" s="90" t="s">
        <v>10132</v>
      </c>
      <c r="C3096" s="90" t="s">
        <v>15</v>
      </c>
      <c r="D3096" s="90" t="str">
        <f>VLOOKUP(Tabela1[[#This Row],[Origem]],'Perguntas 1 a 24'!$J$28:$K$34,2,FALSE)</f>
        <v>Sudeste</v>
      </c>
      <c r="E3096" s="90" t="s">
        <v>14431</v>
      </c>
      <c r="F3096" s="91">
        <v>47359</v>
      </c>
      <c r="G3096" s="92">
        <v>42952</v>
      </c>
      <c r="H3096" s="90" t="s">
        <v>7</v>
      </c>
      <c r="I30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6" s="90" t="s">
        <v>10012</v>
      </c>
    </row>
    <row r="3097" spans="1:11">
      <c r="A3097" s="90" t="s">
        <v>3710</v>
      </c>
      <c r="B3097" s="90" t="s">
        <v>3711</v>
      </c>
      <c r="C3097" s="90" t="s">
        <v>6</v>
      </c>
      <c r="D3097" s="90" t="str">
        <f>VLOOKUP(Tabela1[[#This Row],[Origem]],'Perguntas 1 a 24'!$J$28:$K$34,2,FALSE)</f>
        <v>Nordeste</v>
      </c>
      <c r="E3097" s="90" t="s">
        <v>14432</v>
      </c>
      <c r="F3097" s="91">
        <v>47361</v>
      </c>
      <c r="G3097" s="92">
        <v>56019</v>
      </c>
      <c r="H3097" s="90" t="s">
        <v>11</v>
      </c>
      <c r="I30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7" s="90" t="s">
        <v>3755</v>
      </c>
    </row>
    <row r="3098" spans="1:11">
      <c r="A3098" s="90" t="s">
        <v>7416</v>
      </c>
      <c r="B3098" s="90" t="s">
        <v>7417</v>
      </c>
      <c r="C3098" s="90" t="s">
        <v>8</v>
      </c>
      <c r="D3098" s="90" t="str">
        <f>VLOOKUP(Tabela1[[#This Row],[Origem]],'Perguntas 1 a 24'!$J$28:$K$34,2,FALSE)</f>
        <v>Nordeste</v>
      </c>
      <c r="E3098" s="90" t="s">
        <v>14433</v>
      </c>
      <c r="F3098" s="91">
        <v>47361</v>
      </c>
      <c r="G3098" s="92">
        <v>97992</v>
      </c>
      <c r="H3098" s="90" t="s">
        <v>14</v>
      </c>
      <c r="I30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8" s="90" t="s">
        <v>10398</v>
      </c>
    </row>
    <row r="3099" spans="1:11">
      <c r="A3099" s="90" t="s">
        <v>7554</v>
      </c>
      <c r="B3099" s="90" t="s">
        <v>7555</v>
      </c>
      <c r="C3099" s="90" t="s">
        <v>15</v>
      </c>
      <c r="D3099" s="90" t="str">
        <f>VLOOKUP(Tabela1[[#This Row],[Origem]],'Perguntas 1 a 24'!$J$28:$K$34,2,FALSE)</f>
        <v>Sudeste</v>
      </c>
      <c r="E3099" s="90" t="s">
        <v>14434</v>
      </c>
      <c r="F3099" s="91">
        <v>47361</v>
      </c>
      <c r="G3099" s="92">
        <v>60456</v>
      </c>
      <c r="H3099" s="90" t="s">
        <v>11</v>
      </c>
      <c r="I30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099" s="90" t="s">
        <v>4314</v>
      </c>
    </row>
    <row r="3100" spans="1:11">
      <c r="A3100" s="90" t="s">
        <v>10011</v>
      </c>
      <c r="B3100" s="90" t="s">
        <v>10012</v>
      </c>
      <c r="C3100" s="90" t="s">
        <v>10</v>
      </c>
      <c r="D3100" s="90" t="str">
        <f>VLOOKUP(Tabela1[[#This Row],[Origem]],'Perguntas 1 a 24'!$J$28:$K$34,2,FALSE)</f>
        <v>Centro-Oeste</v>
      </c>
      <c r="E3100" s="90" t="s">
        <v>14435</v>
      </c>
      <c r="F3100" s="91">
        <v>47361</v>
      </c>
      <c r="G3100" s="92">
        <v>100603</v>
      </c>
      <c r="H3100" s="90" t="s">
        <v>9</v>
      </c>
      <c r="I31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0" s="90" t="s">
        <v>5779</v>
      </c>
    </row>
    <row r="3101" spans="1:11">
      <c r="A3101" s="90" t="s">
        <v>3754</v>
      </c>
      <c r="B3101" s="90" t="s">
        <v>3755</v>
      </c>
      <c r="C3101" s="90" t="s">
        <v>15</v>
      </c>
      <c r="D3101" s="90" t="str">
        <f>VLOOKUP(Tabela1[[#This Row],[Origem]],'Perguntas 1 a 24'!$J$28:$K$34,2,FALSE)</f>
        <v>Sudeste</v>
      </c>
      <c r="E3101" s="90" t="s">
        <v>14436</v>
      </c>
      <c r="F3101" s="91">
        <v>47362</v>
      </c>
      <c r="G3101" s="92">
        <v>82039</v>
      </c>
      <c r="H3101" s="90" t="s">
        <v>14</v>
      </c>
      <c r="I31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1" s="90" t="s">
        <v>7119</v>
      </c>
    </row>
    <row r="3102" spans="1:11">
      <c r="A3102" s="90" t="s">
        <v>10397</v>
      </c>
      <c r="B3102" s="90" t="s">
        <v>10398</v>
      </c>
      <c r="C3102" s="90" t="s">
        <v>8</v>
      </c>
      <c r="D3102" s="90" t="str">
        <f>VLOOKUP(Tabela1[[#This Row],[Origem]],'Perguntas 1 a 24'!$J$28:$K$34,2,FALSE)</f>
        <v>Nordeste</v>
      </c>
      <c r="E3102" s="90" t="s">
        <v>14437</v>
      </c>
      <c r="F3102" s="91">
        <v>47363</v>
      </c>
      <c r="G3102" s="92">
        <v>85662</v>
      </c>
      <c r="H3102" s="90" t="s">
        <v>7</v>
      </c>
      <c r="I31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2" s="90" t="s">
        <v>4523</v>
      </c>
    </row>
    <row r="3103" spans="1:11">
      <c r="A3103" s="90" t="s">
        <v>4313</v>
      </c>
      <c r="B3103" s="90" t="s">
        <v>4314</v>
      </c>
      <c r="C3103" s="90" t="s">
        <v>8</v>
      </c>
      <c r="D3103" s="90" t="str">
        <f>VLOOKUP(Tabela1[[#This Row],[Origem]],'Perguntas 1 a 24'!$J$28:$K$34,2,FALSE)</f>
        <v>Nordeste</v>
      </c>
      <c r="E3103" s="90" t="s">
        <v>14438</v>
      </c>
      <c r="F3103" s="91">
        <v>47365</v>
      </c>
      <c r="G3103" s="92">
        <v>79138</v>
      </c>
      <c r="H3103" s="90" t="s">
        <v>14</v>
      </c>
      <c r="I31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3" s="90" t="s">
        <v>5835</v>
      </c>
    </row>
    <row r="3104" spans="1:11">
      <c r="A3104" s="90" t="s">
        <v>5778</v>
      </c>
      <c r="B3104" s="90" t="s">
        <v>5779</v>
      </c>
      <c r="C3104" s="90" t="s">
        <v>16</v>
      </c>
      <c r="D3104" s="90" t="str">
        <f>VLOOKUP(Tabela1[[#This Row],[Origem]],'Perguntas 1 a 24'!$J$28:$K$34,2,FALSE)</f>
        <v>Sudeste</v>
      </c>
      <c r="E3104" s="90" t="s">
        <v>14439</v>
      </c>
      <c r="F3104" s="91">
        <v>47365</v>
      </c>
      <c r="G3104" s="92">
        <v>27629</v>
      </c>
      <c r="H3104" s="90" t="s">
        <v>7</v>
      </c>
      <c r="I31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4" s="90" t="s">
        <v>8181</v>
      </c>
    </row>
    <row r="3105" spans="1:11">
      <c r="A3105" s="90" t="s">
        <v>7118</v>
      </c>
      <c r="B3105" s="90" t="s">
        <v>7119</v>
      </c>
      <c r="C3105" s="90" t="s">
        <v>16</v>
      </c>
      <c r="D3105" s="90" t="str">
        <f>VLOOKUP(Tabela1[[#This Row],[Origem]],'Perguntas 1 a 24'!$J$28:$K$34,2,FALSE)</f>
        <v>Sudeste</v>
      </c>
      <c r="E3105" s="90" t="s">
        <v>14440</v>
      </c>
      <c r="F3105" s="91">
        <v>47365</v>
      </c>
      <c r="G3105" s="92">
        <v>111369</v>
      </c>
      <c r="H3105" s="90" t="s">
        <v>11</v>
      </c>
      <c r="I31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5" s="90" t="s">
        <v>3927</v>
      </c>
    </row>
    <row r="3106" spans="1:11">
      <c r="A3106" s="90" t="s">
        <v>4522</v>
      </c>
      <c r="B3106" s="90" t="s">
        <v>4523</v>
      </c>
      <c r="C3106" s="90" t="s">
        <v>6</v>
      </c>
      <c r="D3106" s="90" t="str">
        <f>VLOOKUP(Tabela1[[#This Row],[Origem]],'Perguntas 1 a 24'!$J$28:$K$34,2,FALSE)</f>
        <v>Nordeste</v>
      </c>
      <c r="E3106" s="90" t="s">
        <v>14441</v>
      </c>
      <c r="F3106" s="91">
        <v>47366</v>
      </c>
      <c r="G3106" s="92">
        <v>38810</v>
      </c>
      <c r="H3106" s="90" t="s">
        <v>11</v>
      </c>
      <c r="I31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6" s="90" t="s">
        <v>4165</v>
      </c>
    </row>
    <row r="3107" spans="1:11">
      <c r="A3107" s="90" t="s">
        <v>5834</v>
      </c>
      <c r="B3107" s="90" t="s">
        <v>5835</v>
      </c>
      <c r="C3107" s="90" t="s">
        <v>8</v>
      </c>
      <c r="D3107" s="90" t="str">
        <f>VLOOKUP(Tabela1[[#This Row],[Origem]],'Perguntas 1 a 24'!$J$28:$K$34,2,FALSE)</f>
        <v>Nordeste</v>
      </c>
      <c r="E3107" s="90" t="s">
        <v>14442</v>
      </c>
      <c r="F3107" s="91">
        <v>47366</v>
      </c>
      <c r="G3107" s="92">
        <v>96852</v>
      </c>
      <c r="H3107" s="90" t="s">
        <v>14</v>
      </c>
      <c r="I31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7" s="90" t="s">
        <v>7765</v>
      </c>
    </row>
    <row r="3108" spans="1:11">
      <c r="A3108" s="90" t="s">
        <v>8180</v>
      </c>
      <c r="B3108" s="90" t="s">
        <v>8181</v>
      </c>
      <c r="C3108" s="90" t="s">
        <v>13</v>
      </c>
      <c r="D3108" s="90" t="str">
        <f>VLOOKUP(Tabela1[[#This Row],[Origem]],'Perguntas 1 a 24'!$J$28:$K$34,2,FALSE)</f>
        <v>Sudeste</v>
      </c>
      <c r="E3108" s="90" t="s">
        <v>14443</v>
      </c>
      <c r="F3108" s="91">
        <v>47366</v>
      </c>
      <c r="G3108" s="92">
        <v>32654</v>
      </c>
      <c r="H3108" s="90" t="s">
        <v>11</v>
      </c>
      <c r="I31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8" s="90" t="s">
        <v>4043</v>
      </c>
    </row>
    <row r="3109" spans="1:11">
      <c r="A3109" s="90" t="s">
        <v>3926</v>
      </c>
      <c r="B3109" s="90" t="s">
        <v>3927</v>
      </c>
      <c r="C3109" s="90" t="s">
        <v>12</v>
      </c>
      <c r="D3109" s="90" t="str">
        <f>VLOOKUP(Tabela1[[#This Row],[Origem]],'Perguntas 1 a 24'!$J$28:$K$34,2,FALSE)</f>
        <v>Sudeste</v>
      </c>
      <c r="E3109" s="90" t="s">
        <v>14444</v>
      </c>
      <c r="F3109" s="91">
        <v>47367</v>
      </c>
      <c r="G3109" s="92">
        <v>98973</v>
      </c>
      <c r="H3109" s="90" t="s">
        <v>9</v>
      </c>
      <c r="I31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09" s="90" t="s">
        <v>9440</v>
      </c>
    </row>
    <row r="3110" spans="1:11">
      <c r="A3110" s="90" t="s">
        <v>4164</v>
      </c>
      <c r="B3110" s="90" t="s">
        <v>4165</v>
      </c>
      <c r="C3110" s="90" t="s">
        <v>12</v>
      </c>
      <c r="D3110" s="90" t="str">
        <f>VLOOKUP(Tabela1[[#This Row],[Origem]],'Perguntas 1 a 24'!$J$28:$K$34,2,FALSE)</f>
        <v>Sudeste</v>
      </c>
      <c r="E3110" s="90" t="s">
        <v>14445</v>
      </c>
      <c r="F3110" s="91">
        <v>47367</v>
      </c>
      <c r="G3110" s="92">
        <v>35088</v>
      </c>
      <c r="H3110" s="90" t="s">
        <v>14</v>
      </c>
      <c r="I31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0" s="90" t="s">
        <v>8233</v>
      </c>
    </row>
    <row r="3111" spans="1:11">
      <c r="A3111" s="90" t="s">
        <v>7764</v>
      </c>
      <c r="B3111" s="90" t="s">
        <v>7765</v>
      </c>
      <c r="C3111" s="90" t="s">
        <v>13</v>
      </c>
      <c r="D3111" s="90" t="str">
        <f>VLOOKUP(Tabela1[[#This Row],[Origem]],'Perguntas 1 a 24'!$J$28:$K$34,2,FALSE)</f>
        <v>Sudeste</v>
      </c>
      <c r="E3111" s="90" t="s">
        <v>14446</v>
      </c>
      <c r="F3111" s="91">
        <v>47367</v>
      </c>
      <c r="G3111" s="92">
        <v>57762</v>
      </c>
      <c r="H3111" s="90" t="s">
        <v>7</v>
      </c>
      <c r="I31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1" s="90" t="s">
        <v>5455</v>
      </c>
    </row>
    <row r="3112" spans="1:11">
      <c r="A3112" s="90" t="s">
        <v>4042</v>
      </c>
      <c r="B3112" s="90" t="s">
        <v>4043</v>
      </c>
      <c r="C3112" s="90" t="s">
        <v>16</v>
      </c>
      <c r="D3112" s="90" t="str">
        <f>VLOOKUP(Tabela1[[#This Row],[Origem]],'Perguntas 1 a 24'!$J$28:$K$34,2,FALSE)</f>
        <v>Sudeste</v>
      </c>
      <c r="E3112" s="90" t="s">
        <v>14447</v>
      </c>
      <c r="F3112" s="91">
        <v>47368</v>
      </c>
      <c r="G3112" s="92">
        <v>74223</v>
      </c>
      <c r="H3112" s="90" t="s">
        <v>9</v>
      </c>
      <c r="I31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2" s="90" t="s">
        <v>5249</v>
      </c>
    </row>
    <row r="3113" spans="1:11">
      <c r="A3113" s="90" t="s">
        <v>9439</v>
      </c>
      <c r="B3113" s="90" t="s">
        <v>9440</v>
      </c>
      <c r="C3113" s="90" t="s">
        <v>15</v>
      </c>
      <c r="D3113" s="90" t="str">
        <f>VLOOKUP(Tabela1[[#This Row],[Origem]],'Perguntas 1 a 24'!$J$28:$K$34,2,FALSE)</f>
        <v>Sudeste</v>
      </c>
      <c r="E3113" s="90" t="s">
        <v>14448</v>
      </c>
      <c r="F3113" s="91">
        <v>47368</v>
      </c>
      <c r="G3113" s="92">
        <v>71934</v>
      </c>
      <c r="H3113" s="90" t="s">
        <v>9</v>
      </c>
      <c r="I31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3" s="90" t="s">
        <v>10524</v>
      </c>
    </row>
    <row r="3114" spans="1:11">
      <c r="A3114" s="90" t="s">
        <v>8232</v>
      </c>
      <c r="B3114" s="90" t="s">
        <v>8233</v>
      </c>
      <c r="C3114" s="90" t="s">
        <v>10</v>
      </c>
      <c r="D3114" s="90" t="str">
        <f>VLOOKUP(Tabela1[[#This Row],[Origem]],'Perguntas 1 a 24'!$J$28:$K$34,2,FALSE)</f>
        <v>Centro-Oeste</v>
      </c>
      <c r="E3114" s="90" t="s">
        <v>14449</v>
      </c>
      <c r="F3114" s="91">
        <v>47369</v>
      </c>
      <c r="G3114" s="92">
        <v>28300</v>
      </c>
      <c r="H3114" s="90" t="s">
        <v>9</v>
      </c>
      <c r="I31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4" s="90" t="s">
        <v>9128</v>
      </c>
    </row>
    <row r="3115" spans="1:11">
      <c r="A3115" s="90" t="s">
        <v>5454</v>
      </c>
      <c r="B3115" s="90" t="s">
        <v>5455</v>
      </c>
      <c r="C3115" s="90" t="s">
        <v>15</v>
      </c>
      <c r="D3115" s="90" t="str">
        <f>VLOOKUP(Tabela1[[#This Row],[Origem]],'Perguntas 1 a 24'!$J$28:$K$34,2,FALSE)</f>
        <v>Sudeste</v>
      </c>
      <c r="E3115" s="90" t="s">
        <v>14450</v>
      </c>
      <c r="F3115" s="91">
        <v>47370</v>
      </c>
      <c r="G3115" s="92">
        <v>26654</v>
      </c>
      <c r="H3115" s="90" t="s">
        <v>7</v>
      </c>
      <c r="I31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5" s="90" t="s">
        <v>9142</v>
      </c>
    </row>
    <row r="3116" spans="1:11">
      <c r="A3116" s="90" t="s">
        <v>5248</v>
      </c>
      <c r="B3116" s="90" t="s">
        <v>5249</v>
      </c>
      <c r="C3116" s="90" t="s">
        <v>16</v>
      </c>
      <c r="D3116" s="90" t="str">
        <f>VLOOKUP(Tabela1[[#This Row],[Origem]],'Perguntas 1 a 24'!$J$28:$K$34,2,FALSE)</f>
        <v>Sudeste</v>
      </c>
      <c r="E3116" s="90" t="s">
        <v>14451</v>
      </c>
      <c r="F3116" s="91">
        <v>47372</v>
      </c>
      <c r="G3116" s="92">
        <v>80253</v>
      </c>
      <c r="H3116" s="90" t="s">
        <v>7</v>
      </c>
      <c r="I31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6" s="90" t="s">
        <v>6835</v>
      </c>
    </row>
    <row r="3117" spans="1:11">
      <c r="A3117" s="90" t="s">
        <v>10523</v>
      </c>
      <c r="B3117" s="90" t="s">
        <v>10524</v>
      </c>
      <c r="C3117" s="90" t="s">
        <v>10</v>
      </c>
      <c r="D3117" s="90" t="str">
        <f>VLOOKUP(Tabela1[[#This Row],[Origem]],'Perguntas 1 a 24'!$J$28:$K$34,2,FALSE)</f>
        <v>Centro-Oeste</v>
      </c>
      <c r="E3117" s="90" t="s">
        <v>14452</v>
      </c>
      <c r="F3117" s="91">
        <v>47372</v>
      </c>
      <c r="G3117" s="92">
        <v>75904</v>
      </c>
      <c r="H3117" s="90" t="s">
        <v>7</v>
      </c>
      <c r="I31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7" s="90" t="s">
        <v>9956</v>
      </c>
    </row>
    <row r="3118" spans="1:11">
      <c r="A3118" s="90" t="s">
        <v>9127</v>
      </c>
      <c r="B3118" s="90" t="s">
        <v>9128</v>
      </c>
      <c r="C3118" s="90" t="s">
        <v>8</v>
      </c>
      <c r="D3118" s="90" t="str">
        <f>VLOOKUP(Tabela1[[#This Row],[Origem]],'Perguntas 1 a 24'!$J$28:$K$34,2,FALSE)</f>
        <v>Nordeste</v>
      </c>
      <c r="E3118" s="90" t="s">
        <v>14453</v>
      </c>
      <c r="F3118" s="91">
        <v>47373</v>
      </c>
      <c r="G3118" s="92">
        <v>85527</v>
      </c>
      <c r="H3118" s="90" t="s">
        <v>7</v>
      </c>
      <c r="I31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8" s="90" t="s">
        <v>11282</v>
      </c>
    </row>
    <row r="3119" spans="1:11">
      <c r="A3119" s="90" t="s">
        <v>9141</v>
      </c>
      <c r="B3119" s="90" t="s">
        <v>9142</v>
      </c>
      <c r="C3119" s="90" t="s">
        <v>10</v>
      </c>
      <c r="D3119" s="90" t="str">
        <f>VLOOKUP(Tabela1[[#This Row],[Origem]],'Perguntas 1 a 24'!$J$28:$K$34,2,FALSE)</f>
        <v>Centro-Oeste</v>
      </c>
      <c r="E3119" s="90" t="s">
        <v>14454</v>
      </c>
      <c r="F3119" s="91">
        <v>47373</v>
      </c>
      <c r="G3119" s="92">
        <v>109100</v>
      </c>
      <c r="H3119" s="90" t="s">
        <v>9</v>
      </c>
      <c r="I31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19" s="90" t="s">
        <v>6715</v>
      </c>
    </row>
    <row r="3120" spans="1:11">
      <c r="A3120" s="90" t="s">
        <v>6834</v>
      </c>
      <c r="B3120" s="90" t="s">
        <v>6835</v>
      </c>
      <c r="C3120" s="90" t="s">
        <v>8</v>
      </c>
      <c r="D3120" s="90" t="str">
        <f>VLOOKUP(Tabela1[[#This Row],[Origem]],'Perguntas 1 a 24'!$J$28:$K$34,2,FALSE)</f>
        <v>Nordeste</v>
      </c>
      <c r="E3120" s="90" t="s">
        <v>14455</v>
      </c>
      <c r="F3120" s="91">
        <v>47375</v>
      </c>
      <c r="G3120" s="92">
        <v>57673</v>
      </c>
      <c r="H3120" s="90" t="s">
        <v>14</v>
      </c>
      <c r="I31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0" s="90" t="s">
        <v>10390</v>
      </c>
    </row>
    <row r="3121" spans="1:11">
      <c r="A3121" s="90" t="s">
        <v>9955</v>
      </c>
      <c r="B3121" s="90" t="s">
        <v>9956</v>
      </c>
      <c r="C3121" s="90" t="s">
        <v>10</v>
      </c>
      <c r="D3121" s="90" t="str">
        <f>VLOOKUP(Tabela1[[#This Row],[Origem]],'Perguntas 1 a 24'!$J$28:$K$34,2,FALSE)</f>
        <v>Centro-Oeste</v>
      </c>
      <c r="E3121" s="90" t="s">
        <v>14456</v>
      </c>
      <c r="F3121" s="91">
        <v>47376</v>
      </c>
      <c r="G3121" s="92">
        <v>77789</v>
      </c>
      <c r="H3121" s="90" t="s">
        <v>14</v>
      </c>
      <c r="I31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1" s="90" t="s">
        <v>4011</v>
      </c>
    </row>
    <row r="3122" spans="1:11">
      <c r="A3122" s="90" t="s">
        <v>11281</v>
      </c>
      <c r="B3122" s="90" t="s">
        <v>11282</v>
      </c>
      <c r="C3122" s="90" t="s">
        <v>6</v>
      </c>
      <c r="D3122" s="90" t="str">
        <f>VLOOKUP(Tabela1[[#This Row],[Origem]],'Perguntas 1 a 24'!$J$28:$K$34,2,FALSE)</f>
        <v>Nordeste</v>
      </c>
      <c r="E3122" s="90" t="s">
        <v>14457</v>
      </c>
      <c r="F3122" s="91">
        <v>47376</v>
      </c>
      <c r="G3122" s="92">
        <v>31422</v>
      </c>
      <c r="H3122" s="90" t="s">
        <v>14</v>
      </c>
      <c r="I31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2" s="90" t="s">
        <v>9712</v>
      </c>
    </row>
    <row r="3123" spans="1:11">
      <c r="A3123" s="90" t="s">
        <v>6714</v>
      </c>
      <c r="B3123" s="90" t="s">
        <v>6715</v>
      </c>
      <c r="C3123" s="90" t="s">
        <v>15</v>
      </c>
      <c r="D3123" s="90" t="str">
        <f>VLOOKUP(Tabela1[[#This Row],[Origem]],'Perguntas 1 a 24'!$J$28:$K$34,2,FALSE)</f>
        <v>Sudeste</v>
      </c>
      <c r="E3123" s="90" t="s">
        <v>14458</v>
      </c>
      <c r="F3123" s="91">
        <v>47377</v>
      </c>
      <c r="G3123" s="92">
        <v>115535</v>
      </c>
      <c r="H3123" s="90" t="s">
        <v>14</v>
      </c>
      <c r="I31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3" s="90" t="s">
        <v>9890</v>
      </c>
    </row>
    <row r="3124" spans="1:11">
      <c r="A3124" s="90" t="s">
        <v>10389</v>
      </c>
      <c r="B3124" s="90" t="s">
        <v>10390</v>
      </c>
      <c r="C3124" s="90" t="s">
        <v>13</v>
      </c>
      <c r="D3124" s="90" t="str">
        <f>VLOOKUP(Tabela1[[#This Row],[Origem]],'Perguntas 1 a 24'!$J$28:$K$34,2,FALSE)</f>
        <v>Sudeste</v>
      </c>
      <c r="E3124" s="90" t="s">
        <v>14459</v>
      </c>
      <c r="F3124" s="91">
        <v>47377</v>
      </c>
      <c r="G3124" s="92">
        <v>101618</v>
      </c>
      <c r="H3124" s="90" t="s">
        <v>9</v>
      </c>
      <c r="I31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4" s="90" t="s">
        <v>10464</v>
      </c>
    </row>
    <row r="3125" spans="1:11">
      <c r="A3125" s="90" t="s">
        <v>4010</v>
      </c>
      <c r="B3125" s="90" t="s">
        <v>4011</v>
      </c>
      <c r="C3125" s="90" t="s">
        <v>10</v>
      </c>
      <c r="D3125" s="90" t="str">
        <f>VLOOKUP(Tabela1[[#This Row],[Origem]],'Perguntas 1 a 24'!$J$28:$K$34,2,FALSE)</f>
        <v>Centro-Oeste</v>
      </c>
      <c r="E3125" s="90" t="s">
        <v>14460</v>
      </c>
      <c r="F3125" s="91">
        <v>47378</v>
      </c>
      <c r="G3125" s="92">
        <v>63006</v>
      </c>
      <c r="H3125" s="90" t="s">
        <v>11</v>
      </c>
      <c r="I31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5" s="90" t="s">
        <v>9278</v>
      </c>
    </row>
    <row r="3126" spans="1:11">
      <c r="A3126" s="90" t="s">
        <v>9711</v>
      </c>
      <c r="B3126" s="90" t="s">
        <v>9712</v>
      </c>
      <c r="C3126" s="90" t="s">
        <v>16</v>
      </c>
      <c r="D3126" s="90" t="str">
        <f>VLOOKUP(Tabela1[[#This Row],[Origem]],'Perguntas 1 a 24'!$J$28:$K$34,2,FALSE)</f>
        <v>Sudeste</v>
      </c>
      <c r="E3126" s="90" t="s">
        <v>14461</v>
      </c>
      <c r="F3126" s="91">
        <v>47378</v>
      </c>
      <c r="G3126" s="92">
        <v>47459</v>
      </c>
      <c r="H3126" s="90" t="s">
        <v>7</v>
      </c>
      <c r="I31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6" s="90" t="s">
        <v>9648</v>
      </c>
    </row>
    <row r="3127" spans="1:11">
      <c r="A3127" s="90" t="s">
        <v>9889</v>
      </c>
      <c r="B3127" s="90" t="s">
        <v>9890</v>
      </c>
      <c r="C3127" s="90" t="s">
        <v>13</v>
      </c>
      <c r="D3127" s="90" t="str">
        <f>VLOOKUP(Tabela1[[#This Row],[Origem]],'Perguntas 1 a 24'!$J$28:$K$34,2,FALSE)</f>
        <v>Sudeste</v>
      </c>
      <c r="E3127" s="90" t="s">
        <v>14462</v>
      </c>
      <c r="F3127" s="91">
        <v>47378</v>
      </c>
      <c r="G3127" s="92">
        <v>78245</v>
      </c>
      <c r="H3127" s="90" t="s">
        <v>14</v>
      </c>
      <c r="I31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7" s="90" t="s">
        <v>10964</v>
      </c>
    </row>
    <row r="3128" spans="1:11">
      <c r="A3128" s="90" t="s">
        <v>10463</v>
      </c>
      <c r="B3128" s="90" t="s">
        <v>10464</v>
      </c>
      <c r="C3128" s="90" t="s">
        <v>8</v>
      </c>
      <c r="D3128" s="90" t="str">
        <f>VLOOKUP(Tabela1[[#This Row],[Origem]],'Perguntas 1 a 24'!$J$28:$K$34,2,FALSE)</f>
        <v>Nordeste</v>
      </c>
      <c r="E3128" s="90" t="s">
        <v>14463</v>
      </c>
      <c r="F3128" s="91">
        <v>47379</v>
      </c>
      <c r="G3128" s="92">
        <v>37742</v>
      </c>
      <c r="H3128" s="90" t="s">
        <v>7</v>
      </c>
      <c r="I31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8" s="90" t="s">
        <v>5043</v>
      </c>
    </row>
    <row r="3129" spans="1:11">
      <c r="A3129" s="90" t="s">
        <v>9277</v>
      </c>
      <c r="B3129" s="90" t="s">
        <v>9278</v>
      </c>
      <c r="C3129" s="90" t="s">
        <v>13</v>
      </c>
      <c r="D3129" s="90" t="str">
        <f>VLOOKUP(Tabela1[[#This Row],[Origem]],'Perguntas 1 a 24'!$J$28:$K$34,2,FALSE)</f>
        <v>Sudeste</v>
      </c>
      <c r="E3129" s="90" t="s">
        <v>14464</v>
      </c>
      <c r="F3129" s="91">
        <v>47380</v>
      </c>
      <c r="G3129" s="92">
        <v>40351</v>
      </c>
      <c r="H3129" s="90" t="s">
        <v>11</v>
      </c>
      <c r="I31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29" s="90" t="s">
        <v>4472</v>
      </c>
    </row>
    <row r="3130" spans="1:11">
      <c r="A3130" s="90" t="s">
        <v>9647</v>
      </c>
      <c r="B3130" s="90" t="s">
        <v>9648</v>
      </c>
      <c r="C3130" s="90" t="s">
        <v>8</v>
      </c>
      <c r="D3130" s="90" t="str">
        <f>VLOOKUP(Tabela1[[#This Row],[Origem]],'Perguntas 1 a 24'!$J$28:$K$34,2,FALSE)</f>
        <v>Nordeste</v>
      </c>
      <c r="E3130" s="90" t="s">
        <v>14465</v>
      </c>
      <c r="F3130" s="91">
        <v>47381</v>
      </c>
      <c r="G3130" s="92">
        <v>111161</v>
      </c>
      <c r="H3130" s="90" t="s">
        <v>7</v>
      </c>
      <c r="I31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0" s="90" t="s">
        <v>7737</v>
      </c>
    </row>
    <row r="3131" spans="1:11">
      <c r="A3131" s="90" t="s">
        <v>10963</v>
      </c>
      <c r="B3131" s="90" t="s">
        <v>10964</v>
      </c>
      <c r="C3131" s="90" t="s">
        <v>6</v>
      </c>
      <c r="D3131" s="90" t="str">
        <f>VLOOKUP(Tabela1[[#This Row],[Origem]],'Perguntas 1 a 24'!$J$28:$K$34,2,FALSE)</f>
        <v>Nordeste</v>
      </c>
      <c r="E3131" s="90" t="s">
        <v>14466</v>
      </c>
      <c r="F3131" s="91">
        <v>47384</v>
      </c>
      <c r="G3131" s="92">
        <v>77471</v>
      </c>
      <c r="H3131" s="90" t="s">
        <v>11</v>
      </c>
      <c r="I31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1" s="90" t="s">
        <v>9704</v>
      </c>
    </row>
    <row r="3132" spans="1:11">
      <c r="A3132" s="90" t="s">
        <v>5042</v>
      </c>
      <c r="B3132" s="90" t="s">
        <v>5043</v>
      </c>
      <c r="C3132" s="90" t="s">
        <v>15</v>
      </c>
      <c r="D3132" s="90" t="str">
        <f>VLOOKUP(Tabela1[[#This Row],[Origem]],'Perguntas 1 a 24'!$J$28:$K$34,2,FALSE)</f>
        <v>Sudeste</v>
      </c>
      <c r="E3132" s="90" t="s">
        <v>14467</v>
      </c>
      <c r="F3132" s="91">
        <v>47385</v>
      </c>
      <c r="G3132" s="92">
        <v>89505</v>
      </c>
      <c r="H3132" s="90" t="s">
        <v>11</v>
      </c>
      <c r="I31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2" s="90" t="s">
        <v>11246</v>
      </c>
    </row>
    <row r="3133" spans="1:11">
      <c r="A3133" s="90" t="s">
        <v>4471</v>
      </c>
      <c r="B3133" s="90" t="s">
        <v>4472</v>
      </c>
      <c r="C3133" s="90" t="s">
        <v>10</v>
      </c>
      <c r="D3133" s="90" t="str">
        <f>VLOOKUP(Tabela1[[#This Row],[Origem]],'Perguntas 1 a 24'!$J$28:$K$34,2,FALSE)</f>
        <v>Centro-Oeste</v>
      </c>
      <c r="E3133" s="90" t="s">
        <v>14468</v>
      </c>
      <c r="F3133" s="91">
        <v>47386</v>
      </c>
      <c r="G3133" s="92">
        <v>24067</v>
      </c>
      <c r="H3133" s="90" t="s">
        <v>11</v>
      </c>
      <c r="I31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3" s="90" t="s">
        <v>9878</v>
      </c>
    </row>
    <row r="3134" spans="1:11">
      <c r="A3134" s="90" t="s">
        <v>7736</v>
      </c>
      <c r="B3134" s="90" t="s">
        <v>7737</v>
      </c>
      <c r="C3134" s="90" t="s">
        <v>13</v>
      </c>
      <c r="D3134" s="90" t="str">
        <f>VLOOKUP(Tabela1[[#This Row],[Origem]],'Perguntas 1 a 24'!$J$28:$K$34,2,FALSE)</f>
        <v>Sudeste</v>
      </c>
      <c r="E3134" s="90" t="s">
        <v>14469</v>
      </c>
      <c r="F3134" s="91">
        <v>47386</v>
      </c>
      <c r="G3134" s="92">
        <v>48263</v>
      </c>
      <c r="H3134" s="90" t="s">
        <v>11</v>
      </c>
      <c r="I31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4" s="90" t="s">
        <v>8712</v>
      </c>
    </row>
    <row r="3135" spans="1:11">
      <c r="A3135" s="90" t="s">
        <v>9703</v>
      </c>
      <c r="B3135" s="90" t="s">
        <v>9704</v>
      </c>
      <c r="C3135" s="90" t="s">
        <v>16</v>
      </c>
      <c r="D3135" s="90" t="str">
        <f>VLOOKUP(Tabela1[[#This Row],[Origem]],'Perguntas 1 a 24'!$J$28:$K$34,2,FALSE)</f>
        <v>Sudeste</v>
      </c>
      <c r="E3135" s="90" t="s">
        <v>14470</v>
      </c>
      <c r="F3135" s="91">
        <v>47387</v>
      </c>
      <c r="G3135" s="92">
        <v>53285</v>
      </c>
      <c r="H3135" s="90" t="s">
        <v>11</v>
      </c>
      <c r="I31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5" s="90" t="s">
        <v>8988</v>
      </c>
    </row>
    <row r="3136" spans="1:11">
      <c r="A3136" s="90" t="s">
        <v>11245</v>
      </c>
      <c r="B3136" s="90" t="s">
        <v>11246</v>
      </c>
      <c r="C3136" s="90" t="s">
        <v>10</v>
      </c>
      <c r="D3136" s="90" t="str">
        <f>VLOOKUP(Tabela1[[#This Row],[Origem]],'Perguntas 1 a 24'!$J$28:$K$34,2,FALSE)</f>
        <v>Centro-Oeste</v>
      </c>
      <c r="E3136" s="90" t="s">
        <v>14471</v>
      </c>
      <c r="F3136" s="91">
        <v>47387</v>
      </c>
      <c r="G3136" s="92">
        <v>94828</v>
      </c>
      <c r="H3136" s="90" t="s">
        <v>9</v>
      </c>
      <c r="I31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6" s="90" t="s">
        <v>9448</v>
      </c>
    </row>
    <row r="3137" spans="1:11">
      <c r="A3137" s="90" t="s">
        <v>9877</v>
      </c>
      <c r="B3137" s="90" t="s">
        <v>9878</v>
      </c>
      <c r="C3137" s="90" t="s">
        <v>13</v>
      </c>
      <c r="D3137" s="90" t="str">
        <f>VLOOKUP(Tabela1[[#This Row],[Origem]],'Perguntas 1 a 24'!$J$28:$K$34,2,FALSE)</f>
        <v>Sudeste</v>
      </c>
      <c r="E3137" s="90" t="s">
        <v>14472</v>
      </c>
      <c r="F3137" s="91">
        <v>47388</v>
      </c>
      <c r="G3137" s="92">
        <v>111652</v>
      </c>
      <c r="H3137" s="90" t="s">
        <v>14</v>
      </c>
      <c r="I31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7" s="90" t="s">
        <v>10932</v>
      </c>
    </row>
    <row r="3138" spans="1:11">
      <c r="A3138" s="90" t="s">
        <v>8711</v>
      </c>
      <c r="B3138" s="90" t="s">
        <v>8712</v>
      </c>
      <c r="C3138" s="90" t="s">
        <v>13</v>
      </c>
      <c r="D3138" s="90" t="str">
        <f>VLOOKUP(Tabela1[[#This Row],[Origem]],'Perguntas 1 a 24'!$J$28:$K$34,2,FALSE)</f>
        <v>Sudeste</v>
      </c>
      <c r="E3138" s="90" t="s">
        <v>14473</v>
      </c>
      <c r="F3138" s="91">
        <v>47389</v>
      </c>
      <c r="G3138" s="92">
        <v>96337</v>
      </c>
      <c r="H3138" s="90" t="s">
        <v>14</v>
      </c>
      <c r="I31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8" s="90" t="s">
        <v>5437</v>
      </c>
    </row>
    <row r="3139" spans="1:11">
      <c r="A3139" s="90" t="s">
        <v>8987</v>
      </c>
      <c r="B3139" s="90" t="s">
        <v>8988</v>
      </c>
      <c r="C3139" s="90" t="s">
        <v>6</v>
      </c>
      <c r="D3139" s="90" t="str">
        <f>VLOOKUP(Tabela1[[#This Row],[Origem]],'Perguntas 1 a 24'!$J$28:$K$34,2,FALSE)</f>
        <v>Nordeste</v>
      </c>
      <c r="E3139" s="90" t="s">
        <v>14474</v>
      </c>
      <c r="F3139" s="91">
        <v>47390</v>
      </c>
      <c r="G3139" s="92">
        <v>115889</v>
      </c>
      <c r="H3139" s="90" t="s">
        <v>7</v>
      </c>
      <c r="I31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39" s="90" t="s">
        <v>5907</v>
      </c>
    </row>
    <row r="3140" spans="1:11">
      <c r="A3140" s="90" t="s">
        <v>9447</v>
      </c>
      <c r="B3140" s="90" t="s">
        <v>9448</v>
      </c>
      <c r="C3140" s="90" t="s">
        <v>13</v>
      </c>
      <c r="D3140" s="90" t="str">
        <f>VLOOKUP(Tabela1[[#This Row],[Origem]],'Perguntas 1 a 24'!$J$28:$K$34,2,FALSE)</f>
        <v>Sudeste</v>
      </c>
      <c r="E3140" s="90" t="s">
        <v>14475</v>
      </c>
      <c r="F3140" s="91">
        <v>47390</v>
      </c>
      <c r="G3140" s="92">
        <v>41230</v>
      </c>
      <c r="H3140" s="90" t="s">
        <v>9</v>
      </c>
      <c r="I31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0" s="90" t="s">
        <v>8760</v>
      </c>
    </row>
    <row r="3141" spans="1:11">
      <c r="A3141" s="90" t="s">
        <v>10931</v>
      </c>
      <c r="B3141" s="90" t="s">
        <v>10932</v>
      </c>
      <c r="C3141" s="90" t="s">
        <v>13</v>
      </c>
      <c r="D3141" s="90" t="str">
        <f>VLOOKUP(Tabela1[[#This Row],[Origem]],'Perguntas 1 a 24'!$J$28:$K$34,2,FALSE)</f>
        <v>Sudeste</v>
      </c>
      <c r="E3141" s="90" t="s">
        <v>14476</v>
      </c>
      <c r="F3141" s="91">
        <v>47390</v>
      </c>
      <c r="G3141" s="92">
        <v>72258</v>
      </c>
      <c r="H3141" s="90" t="s">
        <v>9</v>
      </c>
      <c r="I31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1" s="90" t="s">
        <v>9918</v>
      </c>
    </row>
    <row r="3142" spans="1:11">
      <c r="A3142" s="90" t="s">
        <v>5436</v>
      </c>
      <c r="B3142" s="90" t="s">
        <v>5437</v>
      </c>
      <c r="C3142" s="90" t="s">
        <v>12</v>
      </c>
      <c r="D3142" s="90" t="str">
        <f>VLOOKUP(Tabela1[[#This Row],[Origem]],'Perguntas 1 a 24'!$J$28:$K$34,2,FALSE)</f>
        <v>Sudeste</v>
      </c>
      <c r="E3142" s="90" t="s">
        <v>14477</v>
      </c>
      <c r="F3142" s="91">
        <v>47391</v>
      </c>
      <c r="G3142" s="92">
        <v>80428</v>
      </c>
      <c r="H3142" s="90" t="s">
        <v>7</v>
      </c>
      <c r="I31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2" s="90" t="s">
        <v>8191</v>
      </c>
    </row>
    <row r="3143" spans="1:11">
      <c r="A3143" s="90" t="s">
        <v>5906</v>
      </c>
      <c r="B3143" s="90" t="s">
        <v>5907</v>
      </c>
      <c r="C3143" s="90" t="s">
        <v>12</v>
      </c>
      <c r="D3143" s="90" t="str">
        <f>VLOOKUP(Tabela1[[#This Row],[Origem]],'Perguntas 1 a 24'!$J$28:$K$34,2,FALSE)</f>
        <v>Sudeste</v>
      </c>
      <c r="E3143" s="90" t="s">
        <v>14478</v>
      </c>
      <c r="F3143" s="91">
        <v>47391</v>
      </c>
      <c r="G3143" s="92">
        <v>114862</v>
      </c>
      <c r="H3143" s="90" t="s">
        <v>7</v>
      </c>
      <c r="I31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3" s="90" t="s">
        <v>10260</v>
      </c>
    </row>
    <row r="3144" spans="1:11">
      <c r="A3144" s="90" t="s">
        <v>8759</v>
      </c>
      <c r="B3144" s="90" t="s">
        <v>8760</v>
      </c>
      <c r="C3144" s="90" t="s">
        <v>13</v>
      </c>
      <c r="D3144" s="90" t="str">
        <f>VLOOKUP(Tabela1[[#This Row],[Origem]],'Perguntas 1 a 24'!$J$28:$K$34,2,FALSE)</f>
        <v>Sudeste</v>
      </c>
      <c r="E3144" s="90" t="s">
        <v>14479</v>
      </c>
      <c r="F3144" s="91">
        <v>47391</v>
      </c>
      <c r="G3144" s="92">
        <v>53055</v>
      </c>
      <c r="H3144" s="90" t="s">
        <v>14</v>
      </c>
      <c r="I31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4" s="90" t="s">
        <v>5663</v>
      </c>
    </row>
    <row r="3145" spans="1:11">
      <c r="A3145" s="90" t="s">
        <v>9917</v>
      </c>
      <c r="B3145" s="90" t="s">
        <v>9918</v>
      </c>
      <c r="C3145" s="90" t="s">
        <v>16</v>
      </c>
      <c r="D3145" s="90" t="str">
        <f>VLOOKUP(Tabela1[[#This Row],[Origem]],'Perguntas 1 a 24'!$J$28:$K$34,2,FALSE)</f>
        <v>Sudeste</v>
      </c>
      <c r="E3145" s="90" t="s">
        <v>14480</v>
      </c>
      <c r="F3145" s="91">
        <v>47391</v>
      </c>
      <c r="G3145" s="92">
        <v>103544</v>
      </c>
      <c r="H3145" s="90" t="s">
        <v>7</v>
      </c>
      <c r="I31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5" s="90" t="s">
        <v>9384</v>
      </c>
    </row>
    <row r="3146" spans="1:11">
      <c r="A3146" s="90" t="s">
        <v>8190</v>
      </c>
      <c r="B3146" s="90" t="s">
        <v>8191</v>
      </c>
      <c r="C3146" s="90" t="s">
        <v>15</v>
      </c>
      <c r="D3146" s="90" t="str">
        <f>VLOOKUP(Tabela1[[#This Row],[Origem]],'Perguntas 1 a 24'!$J$28:$K$34,2,FALSE)</f>
        <v>Sudeste</v>
      </c>
      <c r="E3146" s="90" t="s">
        <v>14481</v>
      </c>
      <c r="F3146" s="91">
        <v>47392</v>
      </c>
      <c r="G3146" s="92">
        <v>101983</v>
      </c>
      <c r="H3146" s="90" t="s">
        <v>7</v>
      </c>
      <c r="I31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6" s="90" t="s">
        <v>8103</v>
      </c>
    </row>
    <row r="3147" spans="1:11">
      <c r="A3147" s="90" t="s">
        <v>10259</v>
      </c>
      <c r="B3147" s="90" t="s">
        <v>10260</v>
      </c>
      <c r="C3147" s="90" t="s">
        <v>16</v>
      </c>
      <c r="D3147" s="90" t="str">
        <f>VLOOKUP(Tabela1[[#This Row],[Origem]],'Perguntas 1 a 24'!$J$28:$K$34,2,FALSE)</f>
        <v>Sudeste</v>
      </c>
      <c r="E3147" s="90" t="s">
        <v>14482</v>
      </c>
      <c r="F3147" s="91">
        <v>47392</v>
      </c>
      <c r="G3147" s="92">
        <v>32838</v>
      </c>
      <c r="H3147" s="90" t="s">
        <v>7</v>
      </c>
      <c r="I31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7" s="90" t="s">
        <v>7977</v>
      </c>
    </row>
    <row r="3148" spans="1:11">
      <c r="A3148" s="90" t="s">
        <v>5662</v>
      </c>
      <c r="B3148" s="90" t="s">
        <v>5663</v>
      </c>
      <c r="C3148" s="90" t="s">
        <v>8</v>
      </c>
      <c r="D3148" s="90" t="str">
        <f>VLOOKUP(Tabela1[[#This Row],[Origem]],'Perguntas 1 a 24'!$J$28:$K$34,2,FALSE)</f>
        <v>Nordeste</v>
      </c>
      <c r="E3148" s="90" t="s">
        <v>14483</v>
      </c>
      <c r="F3148" s="91">
        <v>47395</v>
      </c>
      <c r="G3148" s="92">
        <v>72787</v>
      </c>
      <c r="H3148" s="90" t="s">
        <v>11</v>
      </c>
      <c r="I31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8" s="90" t="s">
        <v>3913</v>
      </c>
    </row>
    <row r="3149" spans="1:11">
      <c r="A3149" s="90" t="s">
        <v>9383</v>
      </c>
      <c r="B3149" s="90" t="s">
        <v>9384</v>
      </c>
      <c r="C3149" s="90" t="s">
        <v>13</v>
      </c>
      <c r="D3149" s="90" t="str">
        <f>VLOOKUP(Tabela1[[#This Row],[Origem]],'Perguntas 1 a 24'!$J$28:$K$34,2,FALSE)</f>
        <v>Sudeste</v>
      </c>
      <c r="E3149" s="90" t="s">
        <v>14484</v>
      </c>
      <c r="F3149" s="91">
        <v>47395</v>
      </c>
      <c r="G3149" s="92">
        <v>88189</v>
      </c>
      <c r="H3149" s="90" t="s">
        <v>7</v>
      </c>
      <c r="I31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49" s="90" t="s">
        <v>6209</v>
      </c>
    </row>
    <row r="3150" spans="1:11">
      <c r="A3150" s="90" t="s">
        <v>8102</v>
      </c>
      <c r="B3150" s="90" t="s">
        <v>8103</v>
      </c>
      <c r="C3150" s="90" t="s">
        <v>13</v>
      </c>
      <c r="D3150" s="90" t="str">
        <f>VLOOKUP(Tabela1[[#This Row],[Origem]],'Perguntas 1 a 24'!$J$28:$K$34,2,FALSE)</f>
        <v>Sudeste</v>
      </c>
      <c r="E3150" s="90" t="s">
        <v>14485</v>
      </c>
      <c r="F3150" s="91">
        <v>47396</v>
      </c>
      <c r="G3150" s="92">
        <v>29736</v>
      </c>
      <c r="H3150" s="90" t="s">
        <v>11</v>
      </c>
      <c r="I31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0" s="90" t="s">
        <v>10082</v>
      </c>
    </row>
    <row r="3151" spans="1:11">
      <c r="A3151" s="90" t="s">
        <v>7976</v>
      </c>
      <c r="B3151" s="90" t="s">
        <v>7977</v>
      </c>
      <c r="C3151" s="90" t="s">
        <v>12</v>
      </c>
      <c r="D3151" s="90" t="str">
        <f>VLOOKUP(Tabela1[[#This Row],[Origem]],'Perguntas 1 a 24'!$J$28:$K$34,2,FALSE)</f>
        <v>Sudeste</v>
      </c>
      <c r="E3151" s="90" t="s">
        <v>14486</v>
      </c>
      <c r="F3151" s="91">
        <v>47397</v>
      </c>
      <c r="G3151" s="92">
        <v>46196</v>
      </c>
      <c r="H3151" s="90" t="s">
        <v>7</v>
      </c>
      <c r="I31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1" s="90" t="s">
        <v>7079</v>
      </c>
    </row>
    <row r="3152" spans="1:11">
      <c r="A3152" s="90" t="s">
        <v>3912</v>
      </c>
      <c r="B3152" s="90" t="s">
        <v>3913</v>
      </c>
      <c r="C3152" s="90" t="s">
        <v>6</v>
      </c>
      <c r="D3152" s="90" t="str">
        <f>VLOOKUP(Tabela1[[#This Row],[Origem]],'Perguntas 1 a 24'!$J$28:$K$34,2,FALSE)</f>
        <v>Nordeste</v>
      </c>
      <c r="E3152" s="90" t="s">
        <v>14487</v>
      </c>
      <c r="F3152" s="91">
        <v>47398</v>
      </c>
      <c r="G3152" s="92">
        <v>114117</v>
      </c>
      <c r="H3152" s="90" t="s">
        <v>14</v>
      </c>
      <c r="I31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2" s="90" t="s">
        <v>7685</v>
      </c>
    </row>
    <row r="3153" spans="1:11">
      <c r="A3153" s="90" t="s">
        <v>6208</v>
      </c>
      <c r="B3153" s="90" t="s">
        <v>6209</v>
      </c>
      <c r="C3153" s="90" t="s">
        <v>10</v>
      </c>
      <c r="D3153" s="90" t="str">
        <f>VLOOKUP(Tabela1[[#This Row],[Origem]],'Perguntas 1 a 24'!$J$28:$K$34,2,FALSE)</f>
        <v>Centro-Oeste</v>
      </c>
      <c r="E3153" s="90" t="s">
        <v>14488</v>
      </c>
      <c r="F3153" s="91">
        <v>47398</v>
      </c>
      <c r="G3153" s="92">
        <v>42636</v>
      </c>
      <c r="H3153" s="90" t="s">
        <v>7</v>
      </c>
      <c r="I31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3" s="90" t="s">
        <v>5489</v>
      </c>
    </row>
    <row r="3154" spans="1:11">
      <c r="A3154" s="90" t="s">
        <v>10081</v>
      </c>
      <c r="B3154" s="90" t="s">
        <v>10082</v>
      </c>
      <c r="C3154" s="90" t="s">
        <v>12</v>
      </c>
      <c r="D3154" s="90" t="str">
        <f>VLOOKUP(Tabela1[[#This Row],[Origem]],'Perguntas 1 a 24'!$J$28:$K$34,2,FALSE)</f>
        <v>Sudeste</v>
      </c>
      <c r="E3154" s="90" t="s">
        <v>14489</v>
      </c>
      <c r="F3154" s="91">
        <v>47399</v>
      </c>
      <c r="G3154" s="92">
        <v>55894</v>
      </c>
      <c r="H3154" s="90" t="s">
        <v>7</v>
      </c>
      <c r="I31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4" s="90" t="s">
        <v>5543</v>
      </c>
    </row>
    <row r="3155" spans="1:11">
      <c r="A3155" s="90" t="s">
        <v>7078</v>
      </c>
      <c r="B3155" s="90" t="s">
        <v>7079</v>
      </c>
      <c r="C3155" s="90" t="s">
        <v>6</v>
      </c>
      <c r="D3155" s="90" t="str">
        <f>VLOOKUP(Tabela1[[#This Row],[Origem]],'Perguntas 1 a 24'!$J$28:$K$34,2,FALSE)</f>
        <v>Nordeste</v>
      </c>
      <c r="E3155" s="90" t="s">
        <v>14490</v>
      </c>
      <c r="F3155" s="91">
        <v>47400</v>
      </c>
      <c r="G3155" s="92">
        <v>20344</v>
      </c>
      <c r="H3155" s="90" t="s">
        <v>7</v>
      </c>
      <c r="I31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5" s="90" t="s">
        <v>7321</v>
      </c>
    </row>
    <row r="3156" spans="1:11">
      <c r="A3156" s="90" t="s">
        <v>7684</v>
      </c>
      <c r="B3156" s="90" t="s">
        <v>7685</v>
      </c>
      <c r="C3156" s="90" t="s">
        <v>12</v>
      </c>
      <c r="D3156" s="90" t="str">
        <f>VLOOKUP(Tabela1[[#This Row],[Origem]],'Perguntas 1 a 24'!$J$28:$K$34,2,FALSE)</f>
        <v>Sudeste</v>
      </c>
      <c r="E3156" s="90" t="s">
        <v>14491</v>
      </c>
      <c r="F3156" s="91">
        <v>47401</v>
      </c>
      <c r="G3156" s="92">
        <v>107838</v>
      </c>
      <c r="H3156" s="90" t="s">
        <v>9</v>
      </c>
      <c r="I31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6" s="90" t="s">
        <v>7537</v>
      </c>
    </row>
    <row r="3157" spans="1:11">
      <c r="A3157" s="90" t="s">
        <v>5488</v>
      </c>
      <c r="B3157" s="90" t="s">
        <v>5489</v>
      </c>
      <c r="C3157" s="90" t="s">
        <v>10</v>
      </c>
      <c r="D3157" s="90" t="str">
        <f>VLOOKUP(Tabela1[[#This Row],[Origem]],'Perguntas 1 a 24'!$J$28:$K$34,2,FALSE)</f>
        <v>Centro-Oeste</v>
      </c>
      <c r="E3157" s="90" t="s">
        <v>14492</v>
      </c>
      <c r="F3157" s="91">
        <v>47402</v>
      </c>
      <c r="G3157" s="92">
        <v>105563</v>
      </c>
      <c r="H3157" s="90" t="s">
        <v>11</v>
      </c>
      <c r="I31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7" s="90" t="s">
        <v>7633</v>
      </c>
    </row>
    <row r="3158" spans="1:11">
      <c r="A3158" s="90" t="s">
        <v>5542</v>
      </c>
      <c r="B3158" s="90" t="s">
        <v>5543</v>
      </c>
      <c r="C3158" s="90" t="s">
        <v>8</v>
      </c>
      <c r="D3158" s="90" t="str">
        <f>VLOOKUP(Tabela1[[#This Row],[Origem]],'Perguntas 1 a 24'!$J$28:$K$34,2,FALSE)</f>
        <v>Nordeste</v>
      </c>
      <c r="E3158" s="90" t="s">
        <v>14493</v>
      </c>
      <c r="F3158" s="91">
        <v>47403</v>
      </c>
      <c r="G3158" s="92">
        <v>29794</v>
      </c>
      <c r="H3158" s="90" t="s">
        <v>7</v>
      </c>
      <c r="I31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8" s="90" t="s">
        <v>11152</v>
      </c>
    </row>
    <row r="3159" spans="1:11">
      <c r="A3159" s="90" t="s">
        <v>7320</v>
      </c>
      <c r="B3159" s="90" t="s">
        <v>7321</v>
      </c>
      <c r="C3159" s="90" t="s">
        <v>6</v>
      </c>
      <c r="D3159" s="90" t="str">
        <f>VLOOKUP(Tabela1[[#This Row],[Origem]],'Perguntas 1 a 24'!$J$28:$K$34,2,FALSE)</f>
        <v>Nordeste</v>
      </c>
      <c r="E3159" s="90" t="s">
        <v>14494</v>
      </c>
      <c r="F3159" s="91">
        <v>47403</v>
      </c>
      <c r="G3159" s="92">
        <v>79139</v>
      </c>
      <c r="H3159" s="90" t="s">
        <v>11</v>
      </c>
      <c r="I31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59" s="90" t="s">
        <v>4208</v>
      </c>
    </row>
    <row r="3160" spans="1:11">
      <c r="A3160" s="90" t="s">
        <v>7536</v>
      </c>
      <c r="B3160" s="90" t="s">
        <v>7537</v>
      </c>
      <c r="C3160" s="90" t="s">
        <v>16</v>
      </c>
      <c r="D3160" s="90" t="str">
        <f>VLOOKUP(Tabela1[[#This Row],[Origem]],'Perguntas 1 a 24'!$J$28:$K$34,2,FALSE)</f>
        <v>Sudeste</v>
      </c>
      <c r="E3160" s="90" t="s">
        <v>14495</v>
      </c>
      <c r="F3160" s="91">
        <v>47403</v>
      </c>
      <c r="G3160" s="92">
        <v>65023</v>
      </c>
      <c r="H3160" s="90" t="s">
        <v>14</v>
      </c>
      <c r="I31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0" s="90" t="s">
        <v>7351</v>
      </c>
    </row>
    <row r="3161" spans="1:11">
      <c r="A3161" s="90" t="s">
        <v>7632</v>
      </c>
      <c r="B3161" s="90" t="s">
        <v>7633</v>
      </c>
      <c r="C3161" s="90" t="s">
        <v>15</v>
      </c>
      <c r="D3161" s="90" t="str">
        <f>VLOOKUP(Tabela1[[#This Row],[Origem]],'Perguntas 1 a 24'!$J$28:$K$34,2,FALSE)</f>
        <v>Sudeste</v>
      </c>
      <c r="E3161" s="90" t="s">
        <v>14496</v>
      </c>
      <c r="F3161" s="91">
        <v>47403</v>
      </c>
      <c r="G3161" s="92">
        <v>115027</v>
      </c>
      <c r="H3161" s="90" t="s">
        <v>11</v>
      </c>
      <c r="I31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1" s="90" t="s">
        <v>6279</v>
      </c>
    </row>
    <row r="3162" spans="1:11">
      <c r="A3162" s="90" t="s">
        <v>11151</v>
      </c>
      <c r="B3162" s="90" t="s">
        <v>11152</v>
      </c>
      <c r="C3162" s="90" t="s">
        <v>6</v>
      </c>
      <c r="D3162" s="90" t="str">
        <f>VLOOKUP(Tabela1[[#This Row],[Origem]],'Perguntas 1 a 24'!$J$28:$K$34,2,FALSE)</f>
        <v>Nordeste</v>
      </c>
      <c r="E3162" s="90" t="s">
        <v>14497</v>
      </c>
      <c r="F3162" s="91">
        <v>47403</v>
      </c>
      <c r="G3162" s="92">
        <v>101730</v>
      </c>
      <c r="H3162" s="90" t="s">
        <v>14</v>
      </c>
      <c r="I31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2" s="90" t="s">
        <v>6711</v>
      </c>
    </row>
    <row r="3163" spans="1:11">
      <c r="A3163" s="90" t="s">
        <v>4207</v>
      </c>
      <c r="B3163" s="90" t="s">
        <v>4208</v>
      </c>
      <c r="C3163" s="90" t="s">
        <v>8</v>
      </c>
      <c r="D3163" s="90" t="str">
        <f>VLOOKUP(Tabela1[[#This Row],[Origem]],'Perguntas 1 a 24'!$J$28:$K$34,2,FALSE)</f>
        <v>Nordeste</v>
      </c>
      <c r="E3163" s="90" t="s">
        <v>14498</v>
      </c>
      <c r="F3163" s="91">
        <v>47405</v>
      </c>
      <c r="G3163" s="92">
        <v>20514</v>
      </c>
      <c r="H3163" s="90" t="s">
        <v>7</v>
      </c>
      <c r="I31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3" s="90" t="s">
        <v>7389</v>
      </c>
    </row>
    <row r="3164" spans="1:11">
      <c r="A3164" s="90" t="s">
        <v>7350</v>
      </c>
      <c r="B3164" s="90" t="s">
        <v>7351</v>
      </c>
      <c r="C3164" s="90" t="s">
        <v>10</v>
      </c>
      <c r="D3164" s="90" t="str">
        <f>VLOOKUP(Tabela1[[#This Row],[Origem]],'Perguntas 1 a 24'!$J$28:$K$34,2,FALSE)</f>
        <v>Centro-Oeste</v>
      </c>
      <c r="E3164" s="90" t="s">
        <v>14499</v>
      </c>
      <c r="F3164" s="91">
        <v>47405</v>
      </c>
      <c r="G3164" s="92">
        <v>57265</v>
      </c>
      <c r="H3164" s="90" t="s">
        <v>11</v>
      </c>
      <c r="I31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4" s="90" t="s">
        <v>9212</v>
      </c>
    </row>
    <row r="3165" spans="1:11">
      <c r="A3165" s="90" t="s">
        <v>6278</v>
      </c>
      <c r="B3165" s="90" t="s">
        <v>6279</v>
      </c>
      <c r="C3165" s="90" t="s">
        <v>10</v>
      </c>
      <c r="D3165" s="90" t="str">
        <f>VLOOKUP(Tabela1[[#This Row],[Origem]],'Perguntas 1 a 24'!$J$28:$K$34,2,FALSE)</f>
        <v>Centro-Oeste</v>
      </c>
      <c r="E3165" s="90" t="s">
        <v>14500</v>
      </c>
      <c r="F3165" s="91">
        <v>47406</v>
      </c>
      <c r="G3165" s="92">
        <v>32054</v>
      </c>
      <c r="H3165" s="90" t="s">
        <v>14</v>
      </c>
      <c r="I31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5" s="90" t="s">
        <v>10002</v>
      </c>
    </row>
    <row r="3166" spans="1:11">
      <c r="A3166" s="90" t="s">
        <v>6710</v>
      </c>
      <c r="B3166" s="90" t="s">
        <v>6711</v>
      </c>
      <c r="C3166" s="90" t="s">
        <v>8</v>
      </c>
      <c r="D3166" s="90" t="str">
        <f>VLOOKUP(Tabela1[[#This Row],[Origem]],'Perguntas 1 a 24'!$J$28:$K$34,2,FALSE)</f>
        <v>Nordeste</v>
      </c>
      <c r="E3166" s="90" t="s">
        <v>14501</v>
      </c>
      <c r="F3166" s="91">
        <v>47406</v>
      </c>
      <c r="G3166" s="92">
        <v>98199</v>
      </c>
      <c r="H3166" s="90" t="s">
        <v>9</v>
      </c>
      <c r="I31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6" s="90" t="s">
        <v>8509</v>
      </c>
    </row>
    <row r="3167" spans="1:11">
      <c r="A3167" s="90" t="s">
        <v>7388</v>
      </c>
      <c r="B3167" s="90" t="s">
        <v>7389</v>
      </c>
      <c r="C3167" s="90" t="s">
        <v>16</v>
      </c>
      <c r="D3167" s="90" t="str">
        <f>VLOOKUP(Tabela1[[#This Row],[Origem]],'Perguntas 1 a 24'!$J$28:$K$34,2,FALSE)</f>
        <v>Sudeste</v>
      </c>
      <c r="E3167" s="90" t="s">
        <v>14502</v>
      </c>
      <c r="F3167" s="91">
        <v>47406</v>
      </c>
      <c r="G3167" s="92">
        <v>96341</v>
      </c>
      <c r="H3167" s="90" t="s">
        <v>7</v>
      </c>
      <c r="I31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7" s="90" t="s">
        <v>4388</v>
      </c>
    </row>
    <row r="3168" spans="1:11">
      <c r="A3168" s="90" t="s">
        <v>9211</v>
      </c>
      <c r="B3168" s="90" t="s">
        <v>9212</v>
      </c>
      <c r="C3168" s="90" t="s">
        <v>16</v>
      </c>
      <c r="D3168" s="90" t="str">
        <f>VLOOKUP(Tabela1[[#This Row],[Origem]],'Perguntas 1 a 24'!$J$28:$K$34,2,FALSE)</f>
        <v>Sudeste</v>
      </c>
      <c r="E3168" s="90" t="s">
        <v>14503</v>
      </c>
      <c r="F3168" s="91">
        <v>47407</v>
      </c>
      <c r="G3168" s="92">
        <v>21406</v>
      </c>
      <c r="H3168" s="90" t="s">
        <v>14</v>
      </c>
      <c r="I31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8" s="90" t="s">
        <v>7073</v>
      </c>
    </row>
    <row r="3169" spans="1:11">
      <c r="A3169" s="90" t="s">
        <v>10001</v>
      </c>
      <c r="B3169" s="90" t="s">
        <v>10002</v>
      </c>
      <c r="C3169" s="90" t="s">
        <v>15</v>
      </c>
      <c r="D3169" s="90" t="str">
        <f>VLOOKUP(Tabela1[[#This Row],[Origem]],'Perguntas 1 a 24'!$J$28:$K$34,2,FALSE)</f>
        <v>Sudeste</v>
      </c>
      <c r="E3169" s="90" t="s">
        <v>14504</v>
      </c>
      <c r="F3169" s="91">
        <v>47407</v>
      </c>
      <c r="G3169" s="92">
        <v>111429</v>
      </c>
      <c r="H3169" s="90" t="s">
        <v>7</v>
      </c>
      <c r="I31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69" s="90" t="s">
        <v>10760</v>
      </c>
    </row>
    <row r="3170" spans="1:11">
      <c r="A3170" s="90" t="s">
        <v>8508</v>
      </c>
      <c r="B3170" s="90" t="s">
        <v>8509</v>
      </c>
      <c r="C3170" s="90" t="s">
        <v>13</v>
      </c>
      <c r="D3170" s="90" t="str">
        <f>VLOOKUP(Tabela1[[#This Row],[Origem]],'Perguntas 1 a 24'!$J$28:$K$34,2,FALSE)</f>
        <v>Sudeste</v>
      </c>
      <c r="E3170" s="90" t="s">
        <v>14505</v>
      </c>
      <c r="F3170" s="91">
        <v>47408</v>
      </c>
      <c r="G3170" s="92">
        <v>72764</v>
      </c>
      <c r="H3170" s="90" t="s">
        <v>14</v>
      </c>
      <c r="I31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0" s="90" t="s">
        <v>4344</v>
      </c>
    </row>
    <row r="3171" spans="1:11">
      <c r="A3171" s="90" t="s">
        <v>4387</v>
      </c>
      <c r="B3171" s="90" t="s">
        <v>4388</v>
      </c>
      <c r="C3171" s="90" t="s">
        <v>16</v>
      </c>
      <c r="D3171" s="90" t="str">
        <f>VLOOKUP(Tabela1[[#This Row],[Origem]],'Perguntas 1 a 24'!$J$28:$K$34,2,FALSE)</f>
        <v>Sudeste</v>
      </c>
      <c r="E3171" s="90" t="s">
        <v>14506</v>
      </c>
      <c r="F3171" s="91">
        <v>47409</v>
      </c>
      <c r="G3171" s="92">
        <v>62086</v>
      </c>
      <c r="H3171" s="90" t="s">
        <v>9</v>
      </c>
      <c r="I31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1" s="90" t="s">
        <v>4577</v>
      </c>
    </row>
    <row r="3172" spans="1:11">
      <c r="A3172" s="90" t="s">
        <v>7072</v>
      </c>
      <c r="B3172" s="90" t="s">
        <v>7073</v>
      </c>
      <c r="C3172" s="90" t="s">
        <v>10</v>
      </c>
      <c r="D3172" s="90" t="str">
        <f>VLOOKUP(Tabela1[[#This Row],[Origem]],'Perguntas 1 a 24'!$J$28:$K$34,2,FALSE)</f>
        <v>Centro-Oeste</v>
      </c>
      <c r="E3172" s="90" t="s">
        <v>14507</v>
      </c>
      <c r="F3172" s="91">
        <v>47409</v>
      </c>
      <c r="G3172" s="92">
        <v>44175</v>
      </c>
      <c r="H3172" s="90" t="s">
        <v>14</v>
      </c>
      <c r="I31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2" s="90" t="s">
        <v>10414</v>
      </c>
    </row>
    <row r="3173" spans="1:11">
      <c r="A3173" s="90" t="s">
        <v>10759</v>
      </c>
      <c r="B3173" s="90" t="s">
        <v>10760</v>
      </c>
      <c r="C3173" s="90" t="s">
        <v>10</v>
      </c>
      <c r="D3173" s="90" t="str">
        <f>VLOOKUP(Tabela1[[#This Row],[Origem]],'Perguntas 1 a 24'!$J$28:$K$34,2,FALSE)</f>
        <v>Centro-Oeste</v>
      </c>
      <c r="E3173" s="90" t="s">
        <v>14508</v>
      </c>
      <c r="F3173" s="91">
        <v>47410</v>
      </c>
      <c r="G3173" s="92">
        <v>110861</v>
      </c>
      <c r="H3173" s="90" t="s">
        <v>9</v>
      </c>
      <c r="I31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3" s="90" t="s">
        <v>5523</v>
      </c>
    </row>
    <row r="3174" spans="1:11">
      <c r="A3174" s="90" t="s">
        <v>4343</v>
      </c>
      <c r="B3174" s="90" t="s">
        <v>4344</v>
      </c>
      <c r="C3174" s="90" t="s">
        <v>12</v>
      </c>
      <c r="D3174" s="90" t="str">
        <f>VLOOKUP(Tabela1[[#This Row],[Origem]],'Perguntas 1 a 24'!$J$28:$K$34,2,FALSE)</f>
        <v>Sudeste</v>
      </c>
      <c r="E3174" s="90" t="s">
        <v>14509</v>
      </c>
      <c r="F3174" s="91">
        <v>47411</v>
      </c>
      <c r="G3174" s="92">
        <v>30855</v>
      </c>
      <c r="H3174" s="90" t="s">
        <v>11</v>
      </c>
      <c r="I31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4" s="90" t="s">
        <v>6379</v>
      </c>
    </row>
    <row r="3175" spans="1:11">
      <c r="A3175" s="90" t="s">
        <v>4576</v>
      </c>
      <c r="B3175" s="90" t="s">
        <v>4577</v>
      </c>
      <c r="C3175" s="90" t="s">
        <v>10</v>
      </c>
      <c r="D3175" s="90" t="str">
        <f>VLOOKUP(Tabela1[[#This Row],[Origem]],'Perguntas 1 a 24'!$J$28:$K$34,2,FALSE)</f>
        <v>Centro-Oeste</v>
      </c>
      <c r="E3175" s="90" t="s">
        <v>14510</v>
      </c>
      <c r="F3175" s="91">
        <v>47411</v>
      </c>
      <c r="G3175" s="92">
        <v>59288</v>
      </c>
      <c r="H3175" s="90" t="s">
        <v>7</v>
      </c>
      <c r="I31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5" s="90" t="s">
        <v>4145</v>
      </c>
    </row>
    <row r="3176" spans="1:11">
      <c r="A3176" s="90" t="s">
        <v>10413</v>
      </c>
      <c r="B3176" s="90" t="s">
        <v>10414</v>
      </c>
      <c r="C3176" s="90" t="s">
        <v>12</v>
      </c>
      <c r="D3176" s="90" t="str">
        <f>VLOOKUP(Tabela1[[#This Row],[Origem]],'Perguntas 1 a 24'!$J$28:$K$34,2,FALSE)</f>
        <v>Sudeste</v>
      </c>
      <c r="E3176" s="90" t="s">
        <v>14511</v>
      </c>
      <c r="F3176" s="91">
        <v>47411</v>
      </c>
      <c r="G3176" s="92">
        <v>111545</v>
      </c>
      <c r="H3176" s="90" t="s">
        <v>7</v>
      </c>
      <c r="I31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6" s="90" t="s">
        <v>5629</v>
      </c>
    </row>
    <row r="3177" spans="1:11">
      <c r="A3177" s="90" t="s">
        <v>5522</v>
      </c>
      <c r="B3177" s="90" t="s">
        <v>5523</v>
      </c>
      <c r="C3177" s="90" t="s">
        <v>16</v>
      </c>
      <c r="D3177" s="90" t="str">
        <f>VLOOKUP(Tabela1[[#This Row],[Origem]],'Perguntas 1 a 24'!$J$28:$K$34,2,FALSE)</f>
        <v>Sudeste</v>
      </c>
      <c r="E3177" s="90" t="s">
        <v>14512</v>
      </c>
      <c r="F3177" s="91">
        <v>47412</v>
      </c>
      <c r="G3177" s="92">
        <v>74062</v>
      </c>
      <c r="H3177" s="90" t="s">
        <v>14</v>
      </c>
      <c r="I31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7" s="90" t="s">
        <v>6997</v>
      </c>
    </row>
    <row r="3178" spans="1:11">
      <c r="A3178" s="90" t="s">
        <v>6378</v>
      </c>
      <c r="B3178" s="90" t="s">
        <v>6379</v>
      </c>
      <c r="C3178" s="90" t="s">
        <v>16</v>
      </c>
      <c r="D3178" s="90" t="str">
        <f>VLOOKUP(Tabela1[[#This Row],[Origem]],'Perguntas 1 a 24'!$J$28:$K$34,2,FALSE)</f>
        <v>Sudeste</v>
      </c>
      <c r="E3178" s="90" t="s">
        <v>14513</v>
      </c>
      <c r="F3178" s="91">
        <v>47412</v>
      </c>
      <c r="G3178" s="92">
        <v>113254</v>
      </c>
      <c r="H3178" s="90" t="s">
        <v>11</v>
      </c>
      <c r="I31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8" s="90" t="s">
        <v>7843</v>
      </c>
    </row>
    <row r="3179" spans="1:11">
      <c r="A3179" s="90" t="s">
        <v>4144</v>
      </c>
      <c r="B3179" s="90" t="s">
        <v>4145</v>
      </c>
      <c r="C3179" s="90" t="s">
        <v>6</v>
      </c>
      <c r="D3179" s="90" t="str">
        <f>VLOOKUP(Tabela1[[#This Row],[Origem]],'Perguntas 1 a 24'!$J$28:$K$34,2,FALSE)</f>
        <v>Nordeste</v>
      </c>
      <c r="E3179" s="90" t="s">
        <v>14514</v>
      </c>
      <c r="F3179" s="91">
        <v>47413</v>
      </c>
      <c r="G3179" s="92">
        <v>102490</v>
      </c>
      <c r="H3179" s="90" t="s">
        <v>14</v>
      </c>
      <c r="I31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79" s="90" t="s">
        <v>6545</v>
      </c>
    </row>
    <row r="3180" spans="1:11">
      <c r="A3180" s="90" t="s">
        <v>5628</v>
      </c>
      <c r="B3180" s="90" t="s">
        <v>5629</v>
      </c>
      <c r="C3180" s="90" t="s">
        <v>15</v>
      </c>
      <c r="D3180" s="90" t="str">
        <f>VLOOKUP(Tabela1[[#This Row],[Origem]],'Perguntas 1 a 24'!$J$28:$K$34,2,FALSE)</f>
        <v>Sudeste</v>
      </c>
      <c r="E3180" s="90" t="s">
        <v>14515</v>
      </c>
      <c r="F3180" s="91">
        <v>47413</v>
      </c>
      <c r="G3180" s="92">
        <v>44646</v>
      </c>
      <c r="H3180" s="90" t="s">
        <v>9</v>
      </c>
      <c r="I31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0" s="90" t="s">
        <v>7471</v>
      </c>
    </row>
    <row r="3181" spans="1:11">
      <c r="A3181" s="90" t="s">
        <v>6996</v>
      </c>
      <c r="B3181" s="90" t="s">
        <v>6997</v>
      </c>
      <c r="C3181" s="90" t="s">
        <v>15</v>
      </c>
      <c r="D3181" s="90" t="str">
        <f>VLOOKUP(Tabela1[[#This Row],[Origem]],'Perguntas 1 a 24'!$J$28:$K$34,2,FALSE)</f>
        <v>Sudeste</v>
      </c>
      <c r="E3181" s="90" t="s">
        <v>14516</v>
      </c>
      <c r="F3181" s="91">
        <v>47413</v>
      </c>
      <c r="G3181" s="92">
        <v>39442</v>
      </c>
      <c r="H3181" s="90" t="s">
        <v>14</v>
      </c>
      <c r="I31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1" s="90" t="s">
        <v>8650</v>
      </c>
    </row>
    <row r="3182" spans="1:11">
      <c r="A3182" s="90" t="s">
        <v>7842</v>
      </c>
      <c r="B3182" s="90" t="s">
        <v>7843</v>
      </c>
      <c r="C3182" s="90" t="s">
        <v>15</v>
      </c>
      <c r="D3182" s="90" t="str">
        <f>VLOOKUP(Tabela1[[#This Row],[Origem]],'Perguntas 1 a 24'!$J$28:$K$34,2,FALSE)</f>
        <v>Sudeste</v>
      </c>
      <c r="E3182" s="90" t="s">
        <v>14517</v>
      </c>
      <c r="F3182" s="91">
        <v>47413</v>
      </c>
      <c r="G3182" s="92">
        <v>34999</v>
      </c>
      <c r="H3182" s="90" t="s">
        <v>9</v>
      </c>
      <c r="I31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2" s="90" t="s">
        <v>6413</v>
      </c>
    </row>
    <row r="3183" spans="1:11">
      <c r="A3183" s="90" t="s">
        <v>6544</v>
      </c>
      <c r="B3183" s="90" t="s">
        <v>6545</v>
      </c>
      <c r="C3183" s="90" t="s">
        <v>13</v>
      </c>
      <c r="D3183" s="90" t="str">
        <f>VLOOKUP(Tabela1[[#This Row],[Origem]],'Perguntas 1 a 24'!$J$28:$K$34,2,FALSE)</f>
        <v>Sudeste</v>
      </c>
      <c r="E3183" s="90" t="s">
        <v>14518</v>
      </c>
      <c r="F3183" s="91">
        <v>47414</v>
      </c>
      <c r="G3183" s="92">
        <v>52607</v>
      </c>
      <c r="H3183" s="90" t="s">
        <v>9</v>
      </c>
      <c r="I31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3" s="90" t="s">
        <v>7333</v>
      </c>
    </row>
    <row r="3184" spans="1:11">
      <c r="A3184" s="90" t="s">
        <v>7470</v>
      </c>
      <c r="B3184" s="90" t="s">
        <v>7471</v>
      </c>
      <c r="C3184" s="90" t="s">
        <v>10</v>
      </c>
      <c r="D3184" s="90" t="str">
        <f>VLOOKUP(Tabela1[[#This Row],[Origem]],'Perguntas 1 a 24'!$J$28:$K$34,2,FALSE)</f>
        <v>Centro-Oeste</v>
      </c>
      <c r="E3184" s="90" t="s">
        <v>14519</v>
      </c>
      <c r="F3184" s="91">
        <v>47414</v>
      </c>
      <c r="G3184" s="92">
        <v>62676</v>
      </c>
      <c r="H3184" s="90" t="s">
        <v>9</v>
      </c>
      <c r="I31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4" s="90" t="s">
        <v>8600</v>
      </c>
    </row>
    <row r="3185" spans="1:11">
      <c r="A3185" s="90" t="s">
        <v>8649</v>
      </c>
      <c r="B3185" s="90" t="s">
        <v>8650</v>
      </c>
      <c r="C3185" s="90" t="s">
        <v>10</v>
      </c>
      <c r="D3185" s="90" t="str">
        <f>VLOOKUP(Tabela1[[#This Row],[Origem]],'Perguntas 1 a 24'!$J$28:$K$34,2,FALSE)</f>
        <v>Centro-Oeste</v>
      </c>
      <c r="E3185" s="90" t="s">
        <v>14520</v>
      </c>
      <c r="F3185" s="91">
        <v>47414</v>
      </c>
      <c r="G3185" s="92">
        <v>118119</v>
      </c>
      <c r="H3185" s="90" t="s">
        <v>9</v>
      </c>
      <c r="I31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5" s="90" t="s">
        <v>10400</v>
      </c>
    </row>
    <row r="3186" spans="1:11">
      <c r="A3186" s="90" t="s">
        <v>6412</v>
      </c>
      <c r="B3186" s="90" t="s">
        <v>6413</v>
      </c>
      <c r="C3186" s="90" t="s">
        <v>10</v>
      </c>
      <c r="D3186" s="90" t="str">
        <f>VLOOKUP(Tabela1[[#This Row],[Origem]],'Perguntas 1 a 24'!$J$28:$K$34,2,FALSE)</f>
        <v>Centro-Oeste</v>
      </c>
      <c r="E3186" s="90" t="s">
        <v>14521</v>
      </c>
      <c r="F3186" s="91">
        <v>47415</v>
      </c>
      <c r="G3186" s="92">
        <v>80580</v>
      </c>
      <c r="H3186" s="90" t="s">
        <v>14</v>
      </c>
      <c r="I31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6" s="90" t="s">
        <v>10102</v>
      </c>
    </row>
    <row r="3187" spans="1:11">
      <c r="A3187" s="90" t="s">
        <v>7332</v>
      </c>
      <c r="B3187" s="90" t="s">
        <v>7333</v>
      </c>
      <c r="C3187" s="90" t="s">
        <v>16</v>
      </c>
      <c r="D3187" s="90" t="str">
        <f>VLOOKUP(Tabela1[[#This Row],[Origem]],'Perguntas 1 a 24'!$J$28:$K$34,2,FALSE)</f>
        <v>Sudeste</v>
      </c>
      <c r="E3187" s="90" t="s">
        <v>14522</v>
      </c>
      <c r="F3187" s="91">
        <v>47415</v>
      </c>
      <c r="G3187" s="92">
        <v>47154</v>
      </c>
      <c r="H3187" s="90" t="s">
        <v>11</v>
      </c>
      <c r="I31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7" s="90" t="s">
        <v>10568</v>
      </c>
    </row>
    <row r="3188" spans="1:11">
      <c r="A3188" s="90" t="s">
        <v>8599</v>
      </c>
      <c r="B3188" s="90" t="s">
        <v>8600</v>
      </c>
      <c r="C3188" s="90" t="s">
        <v>10</v>
      </c>
      <c r="D3188" s="90" t="str">
        <f>VLOOKUP(Tabela1[[#This Row],[Origem]],'Perguntas 1 a 24'!$J$28:$K$34,2,FALSE)</f>
        <v>Centro-Oeste</v>
      </c>
      <c r="E3188" s="90" t="s">
        <v>14523</v>
      </c>
      <c r="F3188" s="91">
        <v>47415</v>
      </c>
      <c r="G3188" s="92">
        <v>110795</v>
      </c>
      <c r="H3188" s="90" t="s">
        <v>7</v>
      </c>
      <c r="I31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8" s="90" t="s">
        <v>4727</v>
      </c>
    </row>
    <row r="3189" spans="1:11">
      <c r="A3189" s="90" t="s">
        <v>10399</v>
      </c>
      <c r="B3189" s="90" t="s">
        <v>10400</v>
      </c>
      <c r="C3189" s="90" t="s">
        <v>13</v>
      </c>
      <c r="D3189" s="90" t="str">
        <f>VLOOKUP(Tabela1[[#This Row],[Origem]],'Perguntas 1 a 24'!$J$28:$K$34,2,FALSE)</f>
        <v>Sudeste</v>
      </c>
      <c r="E3189" s="90" t="s">
        <v>14524</v>
      </c>
      <c r="F3189" s="91">
        <v>47415</v>
      </c>
      <c r="G3189" s="92">
        <v>82013</v>
      </c>
      <c r="H3189" s="90" t="s">
        <v>9</v>
      </c>
      <c r="I31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89" s="90" t="s">
        <v>6549</v>
      </c>
    </row>
    <row r="3190" spans="1:11">
      <c r="A3190" s="90" t="s">
        <v>10101</v>
      </c>
      <c r="B3190" s="90" t="s">
        <v>10102</v>
      </c>
      <c r="C3190" s="90" t="s">
        <v>15</v>
      </c>
      <c r="D3190" s="90" t="str">
        <f>VLOOKUP(Tabela1[[#This Row],[Origem]],'Perguntas 1 a 24'!$J$28:$K$34,2,FALSE)</f>
        <v>Sudeste</v>
      </c>
      <c r="E3190" s="90" t="s">
        <v>14525</v>
      </c>
      <c r="F3190" s="91">
        <v>47417</v>
      </c>
      <c r="G3190" s="92">
        <v>81033</v>
      </c>
      <c r="H3190" s="90" t="s">
        <v>7</v>
      </c>
      <c r="I31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0" s="90" t="s">
        <v>6817</v>
      </c>
    </row>
    <row r="3191" spans="1:11">
      <c r="A3191" s="90" t="s">
        <v>10567</v>
      </c>
      <c r="B3191" s="90" t="s">
        <v>10568</v>
      </c>
      <c r="C3191" s="90" t="s">
        <v>12</v>
      </c>
      <c r="D3191" s="90" t="str">
        <f>VLOOKUP(Tabela1[[#This Row],[Origem]],'Perguntas 1 a 24'!$J$28:$K$34,2,FALSE)</f>
        <v>Sudeste</v>
      </c>
      <c r="E3191" s="90" t="s">
        <v>14526</v>
      </c>
      <c r="F3191" s="91">
        <v>47417</v>
      </c>
      <c r="G3191" s="92">
        <v>43819</v>
      </c>
      <c r="H3191" s="90" t="s">
        <v>7</v>
      </c>
      <c r="I31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1" s="90" t="s">
        <v>7233</v>
      </c>
    </row>
    <row r="3192" spans="1:11">
      <c r="A3192" s="90" t="s">
        <v>4726</v>
      </c>
      <c r="B3192" s="90" t="s">
        <v>4727</v>
      </c>
      <c r="C3192" s="90" t="s">
        <v>15</v>
      </c>
      <c r="D3192" s="90" t="str">
        <f>VLOOKUP(Tabela1[[#This Row],[Origem]],'Perguntas 1 a 24'!$J$28:$K$34,2,FALSE)</f>
        <v>Sudeste</v>
      </c>
      <c r="E3192" s="90" t="s">
        <v>14527</v>
      </c>
      <c r="F3192" s="91">
        <v>47419</v>
      </c>
      <c r="G3192" s="92">
        <v>34804</v>
      </c>
      <c r="H3192" s="90" t="s">
        <v>11</v>
      </c>
      <c r="I31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2" s="90" t="s">
        <v>8199</v>
      </c>
    </row>
    <row r="3193" spans="1:11">
      <c r="A3193" s="90" t="s">
        <v>6548</v>
      </c>
      <c r="B3193" s="90" t="s">
        <v>6549</v>
      </c>
      <c r="C3193" s="90" t="s">
        <v>16</v>
      </c>
      <c r="D3193" s="90" t="str">
        <f>VLOOKUP(Tabela1[[#This Row],[Origem]],'Perguntas 1 a 24'!$J$28:$K$34,2,FALSE)</f>
        <v>Sudeste</v>
      </c>
      <c r="E3193" s="90" t="s">
        <v>14528</v>
      </c>
      <c r="F3193" s="91">
        <v>47419</v>
      </c>
      <c r="G3193" s="92">
        <v>118518</v>
      </c>
      <c r="H3193" s="90" t="s">
        <v>14</v>
      </c>
      <c r="I31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3" s="90" t="s">
        <v>4547</v>
      </c>
    </row>
    <row r="3194" spans="1:11">
      <c r="A3194" s="90" t="s">
        <v>6816</v>
      </c>
      <c r="B3194" s="90" t="s">
        <v>6817</v>
      </c>
      <c r="C3194" s="90" t="s">
        <v>6</v>
      </c>
      <c r="D3194" s="90" t="str">
        <f>VLOOKUP(Tabela1[[#This Row],[Origem]],'Perguntas 1 a 24'!$J$28:$K$34,2,FALSE)</f>
        <v>Nordeste</v>
      </c>
      <c r="E3194" s="90" t="s">
        <v>14529</v>
      </c>
      <c r="F3194" s="91">
        <v>47419</v>
      </c>
      <c r="G3194" s="92">
        <v>76259</v>
      </c>
      <c r="H3194" s="90" t="s">
        <v>11</v>
      </c>
      <c r="I31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4" s="90" t="s">
        <v>5567</v>
      </c>
    </row>
    <row r="3195" spans="1:11">
      <c r="A3195" s="90" t="s">
        <v>7232</v>
      </c>
      <c r="B3195" s="90" t="s">
        <v>7233</v>
      </c>
      <c r="C3195" s="90" t="s">
        <v>15</v>
      </c>
      <c r="D3195" s="90" t="str">
        <f>VLOOKUP(Tabela1[[#This Row],[Origem]],'Perguntas 1 a 24'!$J$28:$K$34,2,FALSE)</f>
        <v>Sudeste</v>
      </c>
      <c r="E3195" s="90" t="s">
        <v>14530</v>
      </c>
      <c r="F3195" s="91">
        <v>47419</v>
      </c>
      <c r="G3195" s="92">
        <v>112945</v>
      </c>
      <c r="H3195" s="90" t="s">
        <v>7</v>
      </c>
      <c r="I31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5" s="90" t="s">
        <v>3835</v>
      </c>
    </row>
    <row r="3196" spans="1:11">
      <c r="A3196" s="90" t="s">
        <v>8198</v>
      </c>
      <c r="B3196" s="90" t="s">
        <v>8199</v>
      </c>
      <c r="C3196" s="90" t="s">
        <v>15</v>
      </c>
      <c r="D3196" s="90" t="str">
        <f>VLOOKUP(Tabela1[[#This Row],[Origem]],'Perguntas 1 a 24'!$J$28:$K$34,2,FALSE)</f>
        <v>Sudeste</v>
      </c>
      <c r="E3196" s="90" t="s">
        <v>14531</v>
      </c>
      <c r="F3196" s="91">
        <v>47419</v>
      </c>
      <c r="G3196" s="92">
        <v>107102</v>
      </c>
      <c r="H3196" s="90" t="s">
        <v>11</v>
      </c>
      <c r="I31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6" s="90" t="s">
        <v>6165</v>
      </c>
    </row>
    <row r="3197" spans="1:11">
      <c r="A3197" s="90" t="s">
        <v>4546</v>
      </c>
      <c r="B3197" s="90" t="s">
        <v>4547</v>
      </c>
      <c r="C3197" s="90" t="s">
        <v>10</v>
      </c>
      <c r="D3197" s="90" t="str">
        <f>VLOOKUP(Tabela1[[#This Row],[Origem]],'Perguntas 1 a 24'!$J$28:$K$34,2,FALSE)</f>
        <v>Centro-Oeste</v>
      </c>
      <c r="E3197" s="90" t="s">
        <v>14532</v>
      </c>
      <c r="F3197" s="91">
        <v>47420</v>
      </c>
      <c r="G3197" s="92">
        <v>38948</v>
      </c>
      <c r="H3197" s="90" t="s">
        <v>9</v>
      </c>
      <c r="I31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7" s="90" t="s">
        <v>8676</v>
      </c>
    </row>
    <row r="3198" spans="1:11">
      <c r="A3198" s="90" t="s">
        <v>5566</v>
      </c>
      <c r="B3198" s="90" t="s">
        <v>5567</v>
      </c>
      <c r="C3198" s="90" t="s">
        <v>15</v>
      </c>
      <c r="D3198" s="90" t="str">
        <f>VLOOKUP(Tabela1[[#This Row],[Origem]],'Perguntas 1 a 24'!$J$28:$K$34,2,FALSE)</f>
        <v>Sudeste</v>
      </c>
      <c r="E3198" s="90" t="s">
        <v>14533</v>
      </c>
      <c r="F3198" s="91">
        <v>47420</v>
      </c>
      <c r="G3198" s="92">
        <v>34892</v>
      </c>
      <c r="H3198" s="90" t="s">
        <v>7</v>
      </c>
      <c r="I31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8" s="90" t="s">
        <v>10680</v>
      </c>
    </row>
    <row r="3199" spans="1:11">
      <c r="A3199" s="90" t="s">
        <v>3834</v>
      </c>
      <c r="B3199" s="90" t="s">
        <v>3835</v>
      </c>
      <c r="C3199" s="90" t="s">
        <v>13</v>
      </c>
      <c r="D3199" s="90" t="str">
        <f>VLOOKUP(Tabela1[[#This Row],[Origem]],'Perguntas 1 a 24'!$J$28:$K$34,2,FALSE)</f>
        <v>Sudeste</v>
      </c>
      <c r="E3199" s="90" t="s">
        <v>14534</v>
      </c>
      <c r="F3199" s="91">
        <v>47421</v>
      </c>
      <c r="G3199" s="92">
        <v>20586</v>
      </c>
      <c r="H3199" s="90" t="s">
        <v>7</v>
      </c>
      <c r="I31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199" s="90" t="s">
        <v>11210</v>
      </c>
    </row>
    <row r="3200" spans="1:11">
      <c r="A3200" s="90" t="s">
        <v>6164</v>
      </c>
      <c r="B3200" s="90" t="s">
        <v>6165</v>
      </c>
      <c r="C3200" s="90" t="s">
        <v>13</v>
      </c>
      <c r="D3200" s="90" t="str">
        <f>VLOOKUP(Tabela1[[#This Row],[Origem]],'Perguntas 1 a 24'!$J$28:$K$34,2,FALSE)</f>
        <v>Sudeste</v>
      </c>
      <c r="E3200" s="90" t="s">
        <v>14535</v>
      </c>
      <c r="F3200" s="91">
        <v>47421</v>
      </c>
      <c r="G3200" s="92">
        <v>106336</v>
      </c>
      <c r="H3200" s="90" t="s">
        <v>7</v>
      </c>
      <c r="I32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0" s="90" t="s">
        <v>5295</v>
      </c>
    </row>
    <row r="3201" spans="1:11">
      <c r="A3201" s="90" t="s">
        <v>8675</v>
      </c>
      <c r="B3201" s="90" t="s">
        <v>8676</v>
      </c>
      <c r="C3201" s="90" t="s">
        <v>12</v>
      </c>
      <c r="D3201" s="90" t="str">
        <f>VLOOKUP(Tabela1[[#This Row],[Origem]],'Perguntas 1 a 24'!$J$28:$K$34,2,FALSE)</f>
        <v>Sudeste</v>
      </c>
      <c r="E3201" s="90" t="s">
        <v>14536</v>
      </c>
      <c r="F3201" s="91">
        <v>47421</v>
      </c>
      <c r="G3201" s="92">
        <v>111725</v>
      </c>
      <c r="H3201" s="90" t="s">
        <v>11</v>
      </c>
      <c r="I32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1" s="90" t="s">
        <v>8511</v>
      </c>
    </row>
    <row r="3202" spans="1:11">
      <c r="A3202" s="90" t="s">
        <v>10679</v>
      </c>
      <c r="B3202" s="90" t="s">
        <v>10680</v>
      </c>
      <c r="C3202" s="90" t="s">
        <v>10</v>
      </c>
      <c r="D3202" s="90" t="str">
        <f>VLOOKUP(Tabela1[[#This Row],[Origem]],'Perguntas 1 a 24'!$J$28:$K$34,2,FALSE)</f>
        <v>Centro-Oeste</v>
      </c>
      <c r="E3202" s="90" t="s">
        <v>14537</v>
      </c>
      <c r="F3202" s="91">
        <v>47421</v>
      </c>
      <c r="G3202" s="92">
        <v>60770</v>
      </c>
      <c r="H3202" s="90" t="s">
        <v>11</v>
      </c>
      <c r="I32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2" s="90" t="s">
        <v>10502</v>
      </c>
    </row>
    <row r="3203" spans="1:11">
      <c r="A3203" s="90" t="s">
        <v>11209</v>
      </c>
      <c r="B3203" s="90" t="s">
        <v>11210</v>
      </c>
      <c r="C3203" s="90" t="s">
        <v>16</v>
      </c>
      <c r="D3203" s="90" t="str">
        <f>VLOOKUP(Tabela1[[#This Row],[Origem]],'Perguntas 1 a 24'!$J$28:$K$34,2,FALSE)</f>
        <v>Sudeste</v>
      </c>
      <c r="E3203" s="90" t="s">
        <v>14538</v>
      </c>
      <c r="F3203" s="91">
        <v>47421</v>
      </c>
      <c r="G3203" s="92">
        <v>83968</v>
      </c>
      <c r="H3203" s="90" t="s">
        <v>11</v>
      </c>
      <c r="I32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3" s="90" t="s">
        <v>5285</v>
      </c>
    </row>
    <row r="3204" spans="1:11">
      <c r="A3204" s="90" t="s">
        <v>5294</v>
      </c>
      <c r="B3204" s="90" t="s">
        <v>5295</v>
      </c>
      <c r="C3204" s="90" t="s">
        <v>15</v>
      </c>
      <c r="D3204" s="90" t="str">
        <f>VLOOKUP(Tabela1[[#This Row],[Origem]],'Perguntas 1 a 24'!$J$28:$K$34,2,FALSE)</f>
        <v>Sudeste</v>
      </c>
      <c r="E3204" s="90" t="s">
        <v>14539</v>
      </c>
      <c r="F3204" s="91">
        <v>47422</v>
      </c>
      <c r="G3204" s="92">
        <v>119866</v>
      </c>
      <c r="H3204" s="90" t="s">
        <v>14</v>
      </c>
      <c r="I32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4" s="90" t="s">
        <v>6027</v>
      </c>
    </row>
    <row r="3205" spans="1:11">
      <c r="A3205" s="90" t="s">
        <v>8510</v>
      </c>
      <c r="B3205" s="90" t="s">
        <v>8511</v>
      </c>
      <c r="C3205" s="90" t="s">
        <v>13</v>
      </c>
      <c r="D3205" s="90" t="str">
        <f>VLOOKUP(Tabela1[[#This Row],[Origem]],'Perguntas 1 a 24'!$J$28:$K$34,2,FALSE)</f>
        <v>Sudeste</v>
      </c>
      <c r="E3205" s="90" t="s">
        <v>14540</v>
      </c>
      <c r="F3205" s="91">
        <v>47422</v>
      </c>
      <c r="G3205" s="92">
        <v>84615</v>
      </c>
      <c r="H3205" s="90" t="s">
        <v>11</v>
      </c>
      <c r="I32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5" s="90" t="s">
        <v>6467</v>
      </c>
    </row>
    <row r="3206" spans="1:11">
      <c r="A3206" s="90" t="s">
        <v>10501</v>
      </c>
      <c r="B3206" s="90" t="s">
        <v>10502</v>
      </c>
      <c r="C3206" s="90" t="s">
        <v>15</v>
      </c>
      <c r="D3206" s="90" t="str">
        <f>VLOOKUP(Tabela1[[#This Row],[Origem]],'Perguntas 1 a 24'!$J$28:$K$34,2,FALSE)</f>
        <v>Sudeste</v>
      </c>
      <c r="E3206" s="90" t="s">
        <v>14541</v>
      </c>
      <c r="F3206" s="91">
        <v>47422</v>
      </c>
      <c r="G3206" s="92">
        <v>108847</v>
      </c>
      <c r="H3206" s="90" t="s">
        <v>11</v>
      </c>
      <c r="I32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6" s="90" t="s">
        <v>7167</v>
      </c>
    </row>
    <row r="3207" spans="1:11">
      <c r="A3207" s="90" t="s">
        <v>5284</v>
      </c>
      <c r="B3207" s="90" t="s">
        <v>5285</v>
      </c>
      <c r="C3207" s="90" t="s">
        <v>12</v>
      </c>
      <c r="D3207" s="90" t="str">
        <f>VLOOKUP(Tabela1[[#This Row],[Origem]],'Perguntas 1 a 24'!$J$28:$K$34,2,FALSE)</f>
        <v>Sudeste</v>
      </c>
      <c r="E3207" s="90" t="s">
        <v>14542</v>
      </c>
      <c r="F3207" s="91">
        <v>47423</v>
      </c>
      <c r="G3207" s="92">
        <v>88107</v>
      </c>
      <c r="H3207" s="90" t="s">
        <v>7</v>
      </c>
      <c r="I32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7" s="90" t="s">
        <v>10574</v>
      </c>
    </row>
    <row r="3208" spans="1:11">
      <c r="A3208" s="90" t="s">
        <v>6026</v>
      </c>
      <c r="B3208" s="90" t="s">
        <v>6027</v>
      </c>
      <c r="C3208" s="90" t="s">
        <v>12</v>
      </c>
      <c r="D3208" s="90" t="str">
        <f>VLOOKUP(Tabela1[[#This Row],[Origem]],'Perguntas 1 a 24'!$J$28:$K$34,2,FALSE)</f>
        <v>Sudeste</v>
      </c>
      <c r="E3208" s="90" t="s">
        <v>14543</v>
      </c>
      <c r="F3208" s="91">
        <v>47423</v>
      </c>
      <c r="G3208" s="92">
        <v>54140</v>
      </c>
      <c r="H3208" s="90" t="s">
        <v>9</v>
      </c>
      <c r="I32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8" s="90" t="s">
        <v>6089</v>
      </c>
    </row>
    <row r="3209" spans="1:11">
      <c r="A3209" s="90" t="s">
        <v>6466</v>
      </c>
      <c r="B3209" s="90" t="s">
        <v>6467</v>
      </c>
      <c r="C3209" s="90" t="s">
        <v>12</v>
      </c>
      <c r="D3209" s="90" t="str">
        <f>VLOOKUP(Tabela1[[#This Row],[Origem]],'Perguntas 1 a 24'!$J$28:$K$34,2,FALSE)</f>
        <v>Sudeste</v>
      </c>
      <c r="E3209" s="90" t="s">
        <v>14544</v>
      </c>
      <c r="F3209" s="91">
        <v>47423</v>
      </c>
      <c r="G3209" s="92">
        <v>35623</v>
      </c>
      <c r="H3209" s="90" t="s">
        <v>11</v>
      </c>
      <c r="I32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09" s="90" t="s">
        <v>6777</v>
      </c>
    </row>
    <row r="3210" spans="1:11">
      <c r="A3210" s="90" t="s">
        <v>7166</v>
      </c>
      <c r="B3210" s="90" t="s">
        <v>7167</v>
      </c>
      <c r="C3210" s="90" t="s">
        <v>8</v>
      </c>
      <c r="D3210" s="90" t="str">
        <f>VLOOKUP(Tabela1[[#This Row],[Origem]],'Perguntas 1 a 24'!$J$28:$K$34,2,FALSE)</f>
        <v>Nordeste</v>
      </c>
      <c r="E3210" s="90" t="s">
        <v>14545</v>
      </c>
      <c r="F3210" s="91">
        <v>47423</v>
      </c>
      <c r="G3210" s="92">
        <v>50489</v>
      </c>
      <c r="H3210" s="90" t="s">
        <v>7</v>
      </c>
      <c r="I32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0" s="90" t="s">
        <v>9262</v>
      </c>
    </row>
    <row r="3211" spans="1:11">
      <c r="A3211" s="90" t="s">
        <v>10573</v>
      </c>
      <c r="B3211" s="90" t="s">
        <v>10574</v>
      </c>
      <c r="C3211" s="90" t="s">
        <v>6</v>
      </c>
      <c r="D3211" s="90" t="str">
        <f>VLOOKUP(Tabela1[[#This Row],[Origem]],'Perguntas 1 a 24'!$J$28:$K$34,2,FALSE)</f>
        <v>Nordeste</v>
      </c>
      <c r="E3211" s="90" t="s">
        <v>14546</v>
      </c>
      <c r="F3211" s="91">
        <v>47423</v>
      </c>
      <c r="G3211" s="92">
        <v>101863</v>
      </c>
      <c r="H3211" s="90" t="s">
        <v>9</v>
      </c>
      <c r="I32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1" s="90" t="s">
        <v>8680</v>
      </c>
    </row>
    <row r="3212" spans="1:11">
      <c r="A3212" s="90" t="s">
        <v>6088</v>
      </c>
      <c r="B3212" s="90" t="s">
        <v>6089</v>
      </c>
      <c r="C3212" s="90" t="s">
        <v>10</v>
      </c>
      <c r="D3212" s="90" t="str">
        <f>VLOOKUP(Tabela1[[#This Row],[Origem]],'Perguntas 1 a 24'!$J$28:$K$34,2,FALSE)</f>
        <v>Centro-Oeste</v>
      </c>
      <c r="E3212" s="90" t="s">
        <v>14547</v>
      </c>
      <c r="F3212" s="91">
        <v>47424</v>
      </c>
      <c r="G3212" s="92">
        <v>39642</v>
      </c>
      <c r="H3212" s="90" t="s">
        <v>11</v>
      </c>
      <c r="I32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2" s="90" t="s">
        <v>9630</v>
      </c>
    </row>
    <row r="3213" spans="1:11">
      <c r="A3213" s="90" t="s">
        <v>6776</v>
      </c>
      <c r="B3213" s="90" t="s">
        <v>6777</v>
      </c>
      <c r="C3213" s="90" t="s">
        <v>16</v>
      </c>
      <c r="D3213" s="90" t="str">
        <f>VLOOKUP(Tabela1[[#This Row],[Origem]],'Perguntas 1 a 24'!$J$28:$K$34,2,FALSE)</f>
        <v>Sudeste</v>
      </c>
      <c r="E3213" s="90" t="s">
        <v>14548</v>
      </c>
      <c r="F3213" s="91">
        <v>47424</v>
      </c>
      <c r="G3213" s="92">
        <v>67250</v>
      </c>
      <c r="H3213" s="90" t="s">
        <v>9</v>
      </c>
      <c r="I32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3" s="90" t="s">
        <v>4513</v>
      </c>
    </row>
    <row r="3214" spans="1:11">
      <c r="A3214" s="90" t="s">
        <v>9261</v>
      </c>
      <c r="B3214" s="90" t="s">
        <v>9262</v>
      </c>
      <c r="C3214" s="90" t="s">
        <v>6</v>
      </c>
      <c r="D3214" s="90" t="str">
        <f>VLOOKUP(Tabela1[[#This Row],[Origem]],'Perguntas 1 a 24'!$J$28:$K$34,2,FALSE)</f>
        <v>Nordeste</v>
      </c>
      <c r="E3214" s="90" t="s">
        <v>14549</v>
      </c>
      <c r="F3214" s="91">
        <v>47426</v>
      </c>
      <c r="G3214" s="92">
        <v>53925</v>
      </c>
      <c r="H3214" s="90" t="s">
        <v>7</v>
      </c>
      <c r="I32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4" s="90" t="s">
        <v>3759</v>
      </c>
    </row>
    <row r="3215" spans="1:11">
      <c r="A3215" s="90" t="s">
        <v>8679</v>
      </c>
      <c r="B3215" s="90" t="s">
        <v>8680</v>
      </c>
      <c r="C3215" s="90" t="s">
        <v>10</v>
      </c>
      <c r="D3215" s="90" t="str">
        <f>VLOOKUP(Tabela1[[#This Row],[Origem]],'Perguntas 1 a 24'!$J$28:$K$34,2,FALSE)</f>
        <v>Centro-Oeste</v>
      </c>
      <c r="E3215" s="90" t="s">
        <v>14550</v>
      </c>
      <c r="F3215" s="91">
        <v>47428</v>
      </c>
      <c r="G3215" s="92">
        <v>37888</v>
      </c>
      <c r="H3215" s="90" t="s">
        <v>9</v>
      </c>
      <c r="I32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5" s="90" t="s">
        <v>4665</v>
      </c>
    </row>
    <row r="3216" spans="1:11">
      <c r="A3216" s="90" t="s">
        <v>9629</v>
      </c>
      <c r="B3216" s="90" t="s">
        <v>9630</v>
      </c>
      <c r="C3216" s="90" t="s">
        <v>6</v>
      </c>
      <c r="D3216" s="90" t="str">
        <f>VLOOKUP(Tabela1[[#This Row],[Origem]],'Perguntas 1 a 24'!$J$28:$K$34,2,FALSE)</f>
        <v>Nordeste</v>
      </c>
      <c r="E3216" s="90" t="s">
        <v>14551</v>
      </c>
      <c r="F3216" s="91">
        <v>47428</v>
      </c>
      <c r="G3216" s="92">
        <v>119802</v>
      </c>
      <c r="H3216" s="90" t="s">
        <v>11</v>
      </c>
      <c r="I32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6" s="90" t="s">
        <v>6979</v>
      </c>
    </row>
    <row r="3217" spans="1:11">
      <c r="A3217" s="90" t="s">
        <v>4512</v>
      </c>
      <c r="B3217" s="90" t="s">
        <v>4513</v>
      </c>
      <c r="C3217" s="90" t="s">
        <v>12</v>
      </c>
      <c r="D3217" s="90" t="str">
        <f>VLOOKUP(Tabela1[[#This Row],[Origem]],'Perguntas 1 a 24'!$J$28:$K$34,2,FALSE)</f>
        <v>Sudeste</v>
      </c>
      <c r="E3217" s="90" t="s">
        <v>14552</v>
      </c>
      <c r="F3217" s="91">
        <v>47429</v>
      </c>
      <c r="G3217" s="92">
        <v>89656</v>
      </c>
      <c r="H3217" s="90" t="s">
        <v>7</v>
      </c>
      <c r="I32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7" s="90" t="s">
        <v>7295</v>
      </c>
    </row>
    <row r="3218" spans="1:11">
      <c r="A3218" s="90" t="s">
        <v>3758</v>
      </c>
      <c r="B3218" s="90" t="s">
        <v>3759</v>
      </c>
      <c r="C3218" s="90" t="s">
        <v>13</v>
      </c>
      <c r="D3218" s="90" t="str">
        <f>VLOOKUP(Tabela1[[#This Row],[Origem]],'Perguntas 1 a 24'!$J$28:$K$34,2,FALSE)</f>
        <v>Sudeste</v>
      </c>
      <c r="E3218" s="90" t="s">
        <v>14553</v>
      </c>
      <c r="F3218" s="91">
        <v>47430</v>
      </c>
      <c r="G3218" s="92">
        <v>37991</v>
      </c>
      <c r="H3218" s="90" t="s">
        <v>11</v>
      </c>
      <c r="I32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8" s="90" t="s">
        <v>4029</v>
      </c>
    </row>
    <row r="3219" spans="1:11">
      <c r="A3219" s="90" t="s">
        <v>4664</v>
      </c>
      <c r="B3219" s="90" t="s">
        <v>4665</v>
      </c>
      <c r="C3219" s="90" t="s">
        <v>10</v>
      </c>
      <c r="D3219" s="90" t="str">
        <f>VLOOKUP(Tabela1[[#This Row],[Origem]],'Perguntas 1 a 24'!$J$28:$K$34,2,FALSE)</f>
        <v>Centro-Oeste</v>
      </c>
      <c r="E3219" s="90" t="s">
        <v>14554</v>
      </c>
      <c r="F3219" s="91">
        <v>47430</v>
      </c>
      <c r="G3219" s="92">
        <v>114919</v>
      </c>
      <c r="H3219" s="90" t="s">
        <v>11</v>
      </c>
      <c r="I32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19" s="90" t="s">
        <v>4621</v>
      </c>
    </row>
    <row r="3220" spans="1:11">
      <c r="A3220" s="90" t="s">
        <v>6978</v>
      </c>
      <c r="B3220" s="90" t="s">
        <v>6979</v>
      </c>
      <c r="C3220" s="90" t="s">
        <v>16</v>
      </c>
      <c r="D3220" s="90" t="str">
        <f>VLOOKUP(Tabela1[[#This Row],[Origem]],'Perguntas 1 a 24'!$J$28:$K$34,2,FALSE)</f>
        <v>Sudeste</v>
      </c>
      <c r="E3220" s="90" t="s">
        <v>14555</v>
      </c>
      <c r="F3220" s="91">
        <v>47430</v>
      </c>
      <c r="G3220" s="92">
        <v>50531</v>
      </c>
      <c r="H3220" s="90" t="s">
        <v>7</v>
      </c>
      <c r="I32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0" s="90" t="s">
        <v>11112</v>
      </c>
    </row>
    <row r="3221" spans="1:11">
      <c r="A3221" s="90" t="s">
        <v>7294</v>
      </c>
      <c r="B3221" s="90" t="s">
        <v>7295</v>
      </c>
      <c r="C3221" s="90" t="s">
        <v>16</v>
      </c>
      <c r="D3221" s="90" t="str">
        <f>VLOOKUP(Tabela1[[#This Row],[Origem]],'Perguntas 1 a 24'!$J$28:$K$34,2,FALSE)</f>
        <v>Sudeste</v>
      </c>
      <c r="E3221" s="90" t="s">
        <v>14556</v>
      </c>
      <c r="F3221" s="91">
        <v>47430</v>
      </c>
      <c r="G3221" s="92">
        <v>98489</v>
      </c>
      <c r="H3221" s="90" t="s">
        <v>9</v>
      </c>
      <c r="I32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1" s="90" t="s">
        <v>6167</v>
      </c>
    </row>
    <row r="3222" spans="1:11">
      <c r="A3222" s="90" t="s">
        <v>4028</v>
      </c>
      <c r="B3222" s="90" t="s">
        <v>4029</v>
      </c>
      <c r="C3222" s="90" t="s">
        <v>6</v>
      </c>
      <c r="D3222" s="90" t="str">
        <f>VLOOKUP(Tabela1[[#This Row],[Origem]],'Perguntas 1 a 24'!$J$28:$K$34,2,FALSE)</f>
        <v>Nordeste</v>
      </c>
      <c r="E3222" s="90" t="s">
        <v>14557</v>
      </c>
      <c r="F3222" s="91">
        <v>47431</v>
      </c>
      <c r="G3222" s="92">
        <v>112749</v>
      </c>
      <c r="H3222" s="90" t="s">
        <v>7</v>
      </c>
      <c r="I32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2" s="90" t="s">
        <v>3690</v>
      </c>
    </row>
    <row r="3223" spans="1:11">
      <c r="A3223" s="90" t="s">
        <v>4620</v>
      </c>
      <c r="B3223" s="90" t="s">
        <v>4621</v>
      </c>
      <c r="C3223" s="90" t="s">
        <v>10</v>
      </c>
      <c r="D3223" s="90" t="str">
        <f>VLOOKUP(Tabela1[[#This Row],[Origem]],'Perguntas 1 a 24'!$J$28:$K$34,2,FALSE)</f>
        <v>Centro-Oeste</v>
      </c>
      <c r="E3223" s="90" t="s">
        <v>14558</v>
      </c>
      <c r="F3223" s="91">
        <v>47431</v>
      </c>
      <c r="G3223" s="92">
        <v>63719</v>
      </c>
      <c r="H3223" s="90" t="s">
        <v>11</v>
      </c>
      <c r="I32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3" s="90" t="s">
        <v>5697</v>
      </c>
    </row>
    <row r="3224" spans="1:11">
      <c r="A3224" s="90" t="s">
        <v>11111</v>
      </c>
      <c r="B3224" s="90" t="s">
        <v>11112</v>
      </c>
      <c r="C3224" s="90" t="s">
        <v>13</v>
      </c>
      <c r="D3224" s="90" t="str">
        <f>VLOOKUP(Tabela1[[#This Row],[Origem]],'Perguntas 1 a 24'!$J$28:$K$34,2,FALSE)</f>
        <v>Sudeste</v>
      </c>
      <c r="E3224" s="90" t="s">
        <v>14559</v>
      </c>
      <c r="F3224" s="91">
        <v>47431</v>
      </c>
      <c r="G3224" s="92">
        <v>63442</v>
      </c>
      <c r="H3224" s="90" t="s">
        <v>7</v>
      </c>
      <c r="I32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4" s="90" t="s">
        <v>7525</v>
      </c>
    </row>
    <row r="3225" spans="1:11">
      <c r="A3225" s="90" t="s">
        <v>6166</v>
      </c>
      <c r="B3225" s="90" t="s">
        <v>6167</v>
      </c>
      <c r="C3225" s="90" t="s">
        <v>16</v>
      </c>
      <c r="D3225" s="90" t="str">
        <f>VLOOKUP(Tabela1[[#This Row],[Origem]],'Perguntas 1 a 24'!$J$28:$K$34,2,FALSE)</f>
        <v>Sudeste</v>
      </c>
      <c r="E3225" s="90" t="s">
        <v>14560</v>
      </c>
      <c r="F3225" s="91">
        <v>47432</v>
      </c>
      <c r="G3225" s="92">
        <v>66396</v>
      </c>
      <c r="H3225" s="90" t="s">
        <v>14</v>
      </c>
      <c r="I32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5" s="90" t="s">
        <v>9082</v>
      </c>
    </row>
    <row r="3226" spans="1:11">
      <c r="A3226" s="90" t="s">
        <v>3689</v>
      </c>
      <c r="B3226" s="90" t="s">
        <v>3690</v>
      </c>
      <c r="C3226" s="90" t="s">
        <v>16</v>
      </c>
      <c r="D3226" s="90" t="str">
        <f>VLOOKUP(Tabela1[[#This Row],[Origem]],'Perguntas 1 a 24'!$J$28:$K$34,2,FALSE)</f>
        <v>Sudeste</v>
      </c>
      <c r="E3226" s="90" t="s">
        <v>14561</v>
      </c>
      <c r="F3226" s="91">
        <v>47433</v>
      </c>
      <c r="G3226" s="92">
        <v>26424</v>
      </c>
      <c r="H3226" s="90" t="s">
        <v>9</v>
      </c>
      <c r="I32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6" s="90" t="s">
        <v>9276</v>
      </c>
    </row>
    <row r="3227" spans="1:11">
      <c r="A3227" s="90" t="s">
        <v>5696</v>
      </c>
      <c r="B3227" s="90" t="s">
        <v>5697</v>
      </c>
      <c r="C3227" s="90" t="s">
        <v>10</v>
      </c>
      <c r="D3227" s="90" t="str">
        <f>VLOOKUP(Tabela1[[#This Row],[Origem]],'Perguntas 1 a 24'!$J$28:$K$34,2,FALSE)</f>
        <v>Centro-Oeste</v>
      </c>
      <c r="E3227" s="90" t="s">
        <v>14562</v>
      </c>
      <c r="F3227" s="91">
        <v>47433</v>
      </c>
      <c r="G3227" s="92">
        <v>37268</v>
      </c>
      <c r="H3227" s="90" t="s">
        <v>11</v>
      </c>
      <c r="I32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7" s="90" t="s">
        <v>7405</v>
      </c>
    </row>
    <row r="3228" spans="1:11">
      <c r="A3228" s="90" t="s">
        <v>7524</v>
      </c>
      <c r="B3228" s="90" t="s">
        <v>7525</v>
      </c>
      <c r="C3228" s="90" t="s">
        <v>16</v>
      </c>
      <c r="D3228" s="90" t="str">
        <f>VLOOKUP(Tabela1[[#This Row],[Origem]],'Perguntas 1 a 24'!$J$28:$K$34,2,FALSE)</f>
        <v>Sudeste</v>
      </c>
      <c r="E3228" s="90" t="s">
        <v>14563</v>
      </c>
      <c r="F3228" s="91">
        <v>47433</v>
      </c>
      <c r="G3228" s="92">
        <v>95492</v>
      </c>
      <c r="H3228" s="90" t="s">
        <v>7</v>
      </c>
      <c r="I32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8" s="90" t="s">
        <v>10752</v>
      </c>
    </row>
    <row r="3229" spans="1:11">
      <c r="A3229" s="90" t="s">
        <v>9081</v>
      </c>
      <c r="B3229" s="90" t="s">
        <v>9082</v>
      </c>
      <c r="C3229" s="90" t="s">
        <v>16</v>
      </c>
      <c r="D3229" s="90" t="str">
        <f>VLOOKUP(Tabela1[[#This Row],[Origem]],'Perguntas 1 a 24'!$J$28:$K$34,2,FALSE)</f>
        <v>Sudeste</v>
      </c>
      <c r="E3229" s="90" t="s">
        <v>14564</v>
      </c>
      <c r="F3229" s="91">
        <v>47433</v>
      </c>
      <c r="G3229" s="92">
        <v>64674</v>
      </c>
      <c r="H3229" s="90" t="s">
        <v>9</v>
      </c>
      <c r="I32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29" s="90" t="s">
        <v>11108</v>
      </c>
    </row>
    <row r="3230" spans="1:11">
      <c r="A3230" s="90" t="s">
        <v>9275</v>
      </c>
      <c r="B3230" s="90" t="s">
        <v>9276</v>
      </c>
      <c r="C3230" s="90" t="s">
        <v>6</v>
      </c>
      <c r="D3230" s="90" t="str">
        <f>VLOOKUP(Tabela1[[#This Row],[Origem]],'Perguntas 1 a 24'!$J$28:$K$34,2,FALSE)</f>
        <v>Nordeste</v>
      </c>
      <c r="E3230" s="90" t="s">
        <v>14565</v>
      </c>
      <c r="F3230" s="91">
        <v>47434</v>
      </c>
      <c r="G3230" s="92">
        <v>116084</v>
      </c>
      <c r="H3230" s="90" t="s">
        <v>14</v>
      </c>
      <c r="I32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0" s="90" t="s">
        <v>10476</v>
      </c>
    </row>
    <row r="3231" spans="1:11">
      <c r="A3231" s="90" t="s">
        <v>7404</v>
      </c>
      <c r="B3231" s="90" t="s">
        <v>7405</v>
      </c>
      <c r="C3231" s="90" t="s">
        <v>6</v>
      </c>
      <c r="D3231" s="90" t="str">
        <f>VLOOKUP(Tabela1[[#This Row],[Origem]],'Perguntas 1 a 24'!$J$28:$K$34,2,FALSE)</f>
        <v>Nordeste</v>
      </c>
      <c r="E3231" s="90" t="s">
        <v>14566</v>
      </c>
      <c r="F3231" s="91">
        <v>47435</v>
      </c>
      <c r="G3231" s="92">
        <v>28807</v>
      </c>
      <c r="H3231" s="90" t="s">
        <v>14</v>
      </c>
      <c r="I32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1" s="90" t="s">
        <v>7353</v>
      </c>
    </row>
    <row r="3232" spans="1:11">
      <c r="A3232" s="90" t="s">
        <v>10751</v>
      </c>
      <c r="B3232" s="90" t="s">
        <v>10752</v>
      </c>
      <c r="C3232" s="90" t="s">
        <v>8</v>
      </c>
      <c r="D3232" s="90" t="str">
        <f>VLOOKUP(Tabela1[[#This Row],[Origem]],'Perguntas 1 a 24'!$J$28:$K$34,2,FALSE)</f>
        <v>Nordeste</v>
      </c>
      <c r="E3232" s="90" t="s">
        <v>14567</v>
      </c>
      <c r="F3232" s="91">
        <v>47435</v>
      </c>
      <c r="G3232" s="92">
        <v>39692</v>
      </c>
      <c r="H3232" s="90" t="s">
        <v>9</v>
      </c>
      <c r="I32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2" s="90" t="s">
        <v>7611</v>
      </c>
    </row>
    <row r="3233" spans="1:11">
      <c r="A3233" s="90" t="s">
        <v>11107</v>
      </c>
      <c r="B3233" s="90" t="s">
        <v>11108</v>
      </c>
      <c r="C3233" s="90" t="s">
        <v>8</v>
      </c>
      <c r="D3233" s="90" t="str">
        <f>VLOOKUP(Tabela1[[#This Row],[Origem]],'Perguntas 1 a 24'!$J$28:$K$34,2,FALSE)</f>
        <v>Nordeste</v>
      </c>
      <c r="E3233" s="90" t="s">
        <v>14568</v>
      </c>
      <c r="F3233" s="91">
        <v>47435</v>
      </c>
      <c r="G3233" s="92">
        <v>102065</v>
      </c>
      <c r="H3233" s="90" t="s">
        <v>11</v>
      </c>
      <c r="I32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3" s="90" t="s">
        <v>9038</v>
      </c>
    </row>
    <row r="3234" spans="1:11">
      <c r="A3234" s="90" t="s">
        <v>10475</v>
      </c>
      <c r="B3234" s="90" t="s">
        <v>10476</v>
      </c>
      <c r="C3234" s="90" t="s">
        <v>10</v>
      </c>
      <c r="D3234" s="90" t="str">
        <f>VLOOKUP(Tabela1[[#This Row],[Origem]],'Perguntas 1 a 24'!$J$28:$K$34,2,FALSE)</f>
        <v>Centro-Oeste</v>
      </c>
      <c r="E3234" s="90" t="s">
        <v>14569</v>
      </c>
      <c r="F3234" s="91">
        <v>47436</v>
      </c>
      <c r="G3234" s="92">
        <v>58422</v>
      </c>
      <c r="H3234" s="90" t="s">
        <v>9</v>
      </c>
      <c r="I32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4" s="90" t="s">
        <v>10838</v>
      </c>
    </row>
    <row r="3235" spans="1:11">
      <c r="A3235" s="90" t="s">
        <v>7352</v>
      </c>
      <c r="B3235" s="90" t="s">
        <v>7353</v>
      </c>
      <c r="C3235" s="90" t="s">
        <v>16</v>
      </c>
      <c r="D3235" s="90" t="str">
        <f>VLOOKUP(Tabela1[[#This Row],[Origem]],'Perguntas 1 a 24'!$J$28:$K$34,2,FALSE)</f>
        <v>Sudeste</v>
      </c>
      <c r="E3235" s="90" t="s">
        <v>14570</v>
      </c>
      <c r="F3235" s="91">
        <v>47437</v>
      </c>
      <c r="G3235" s="92">
        <v>114669</v>
      </c>
      <c r="H3235" s="90" t="s">
        <v>7</v>
      </c>
      <c r="I32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5" s="90" t="s">
        <v>9462</v>
      </c>
    </row>
    <row r="3236" spans="1:11">
      <c r="A3236" s="90" t="s">
        <v>7610</v>
      </c>
      <c r="B3236" s="90" t="s">
        <v>7611</v>
      </c>
      <c r="C3236" s="90" t="s">
        <v>10</v>
      </c>
      <c r="D3236" s="90" t="str">
        <f>VLOOKUP(Tabela1[[#This Row],[Origem]],'Perguntas 1 a 24'!$J$28:$K$34,2,FALSE)</f>
        <v>Centro-Oeste</v>
      </c>
      <c r="E3236" s="90" t="s">
        <v>14571</v>
      </c>
      <c r="F3236" s="91">
        <v>47439</v>
      </c>
      <c r="G3236" s="92">
        <v>56096</v>
      </c>
      <c r="H3236" s="90" t="s">
        <v>7</v>
      </c>
      <c r="I32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6" s="90" t="s">
        <v>7105</v>
      </c>
    </row>
    <row r="3237" spans="1:11">
      <c r="A3237" s="90" t="s">
        <v>9037</v>
      </c>
      <c r="B3237" s="90" t="s">
        <v>9038</v>
      </c>
      <c r="C3237" s="90" t="s">
        <v>12</v>
      </c>
      <c r="D3237" s="90" t="str">
        <f>VLOOKUP(Tabela1[[#This Row],[Origem]],'Perguntas 1 a 24'!$J$28:$K$34,2,FALSE)</f>
        <v>Sudeste</v>
      </c>
      <c r="E3237" s="90" t="s">
        <v>14572</v>
      </c>
      <c r="F3237" s="91">
        <v>47439</v>
      </c>
      <c r="G3237" s="92">
        <v>103892</v>
      </c>
      <c r="H3237" s="90" t="s">
        <v>7</v>
      </c>
      <c r="I32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7" s="90" t="s">
        <v>4079</v>
      </c>
    </row>
    <row r="3238" spans="1:11">
      <c r="A3238" s="90" t="s">
        <v>10837</v>
      </c>
      <c r="B3238" s="90" t="s">
        <v>10838</v>
      </c>
      <c r="C3238" s="90" t="s">
        <v>15</v>
      </c>
      <c r="D3238" s="90" t="str">
        <f>VLOOKUP(Tabela1[[#This Row],[Origem]],'Perguntas 1 a 24'!$J$28:$K$34,2,FALSE)</f>
        <v>Sudeste</v>
      </c>
      <c r="E3238" s="90" t="s">
        <v>14573</v>
      </c>
      <c r="F3238" s="91">
        <v>47439</v>
      </c>
      <c r="G3238" s="92">
        <v>84885</v>
      </c>
      <c r="H3238" s="90" t="s">
        <v>7</v>
      </c>
      <c r="I32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8" s="90" t="s">
        <v>8521</v>
      </c>
    </row>
    <row r="3239" spans="1:11">
      <c r="A3239" s="90" t="s">
        <v>9461</v>
      </c>
      <c r="B3239" s="90" t="s">
        <v>9462</v>
      </c>
      <c r="C3239" s="90" t="s">
        <v>10</v>
      </c>
      <c r="D3239" s="90" t="str">
        <f>VLOOKUP(Tabela1[[#This Row],[Origem]],'Perguntas 1 a 24'!$J$28:$K$34,2,FALSE)</f>
        <v>Centro-Oeste</v>
      </c>
      <c r="E3239" s="90" t="s">
        <v>14574</v>
      </c>
      <c r="F3239" s="91">
        <v>47440</v>
      </c>
      <c r="G3239" s="92">
        <v>116416</v>
      </c>
      <c r="H3239" s="90" t="s">
        <v>11</v>
      </c>
      <c r="I32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39" s="90" t="s">
        <v>8798</v>
      </c>
    </row>
    <row r="3240" spans="1:11">
      <c r="A3240" s="90" t="s">
        <v>7104</v>
      </c>
      <c r="B3240" s="90" t="s">
        <v>7105</v>
      </c>
      <c r="C3240" s="90" t="s">
        <v>15</v>
      </c>
      <c r="D3240" s="90" t="str">
        <f>VLOOKUP(Tabela1[[#This Row],[Origem]],'Perguntas 1 a 24'!$J$28:$K$34,2,FALSE)</f>
        <v>Sudeste</v>
      </c>
      <c r="E3240" s="90" t="s">
        <v>14575</v>
      </c>
      <c r="F3240" s="91">
        <v>47441</v>
      </c>
      <c r="G3240" s="92">
        <v>23049</v>
      </c>
      <c r="H3240" s="90" t="s">
        <v>9</v>
      </c>
      <c r="I32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0" s="90" t="s">
        <v>6823</v>
      </c>
    </row>
    <row r="3241" spans="1:11">
      <c r="A3241" s="90" t="s">
        <v>4078</v>
      </c>
      <c r="B3241" s="90" t="s">
        <v>4079</v>
      </c>
      <c r="C3241" s="90" t="s">
        <v>13</v>
      </c>
      <c r="D3241" s="90" t="str">
        <f>VLOOKUP(Tabela1[[#This Row],[Origem]],'Perguntas 1 a 24'!$J$28:$K$34,2,FALSE)</f>
        <v>Sudeste</v>
      </c>
      <c r="E3241" s="90" t="s">
        <v>14576</v>
      </c>
      <c r="F3241" s="91">
        <v>47442</v>
      </c>
      <c r="G3241" s="92">
        <v>74603</v>
      </c>
      <c r="H3241" s="90" t="s">
        <v>7</v>
      </c>
      <c r="I32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1" s="90" t="s">
        <v>6731</v>
      </c>
    </row>
    <row r="3242" spans="1:11">
      <c r="A3242" s="90" t="s">
        <v>8520</v>
      </c>
      <c r="B3242" s="90" t="s">
        <v>8521</v>
      </c>
      <c r="C3242" s="90" t="s">
        <v>10</v>
      </c>
      <c r="D3242" s="90" t="str">
        <f>VLOOKUP(Tabela1[[#This Row],[Origem]],'Perguntas 1 a 24'!$J$28:$K$34,2,FALSE)</f>
        <v>Centro-Oeste</v>
      </c>
      <c r="E3242" s="90" t="s">
        <v>14577</v>
      </c>
      <c r="F3242" s="91">
        <v>47442</v>
      </c>
      <c r="G3242" s="92">
        <v>83127</v>
      </c>
      <c r="H3242" s="90" t="s">
        <v>11</v>
      </c>
      <c r="I32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2" s="90" t="s">
        <v>8505</v>
      </c>
    </row>
    <row r="3243" spans="1:11">
      <c r="A3243" s="90" t="s">
        <v>8797</v>
      </c>
      <c r="B3243" s="90" t="s">
        <v>8798</v>
      </c>
      <c r="C3243" s="90" t="s">
        <v>6</v>
      </c>
      <c r="D3243" s="90" t="str">
        <f>VLOOKUP(Tabela1[[#This Row],[Origem]],'Perguntas 1 a 24'!$J$28:$K$34,2,FALSE)</f>
        <v>Nordeste</v>
      </c>
      <c r="E3243" s="90" t="s">
        <v>14578</v>
      </c>
      <c r="F3243" s="91">
        <v>47443</v>
      </c>
      <c r="G3243" s="92">
        <v>20115</v>
      </c>
      <c r="H3243" s="90" t="s">
        <v>14</v>
      </c>
      <c r="I32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3" s="90" t="s">
        <v>6969</v>
      </c>
    </row>
    <row r="3244" spans="1:11">
      <c r="A3244" s="90" t="s">
        <v>6822</v>
      </c>
      <c r="B3244" s="90" t="s">
        <v>6823</v>
      </c>
      <c r="C3244" s="90" t="s">
        <v>15</v>
      </c>
      <c r="D3244" s="90" t="str">
        <f>VLOOKUP(Tabela1[[#This Row],[Origem]],'Perguntas 1 a 24'!$J$28:$K$34,2,FALSE)</f>
        <v>Sudeste</v>
      </c>
      <c r="E3244" s="90" t="s">
        <v>14579</v>
      </c>
      <c r="F3244" s="91">
        <v>47445</v>
      </c>
      <c r="G3244" s="92">
        <v>73649</v>
      </c>
      <c r="H3244" s="90" t="s">
        <v>9</v>
      </c>
      <c r="I32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4" s="90" t="s">
        <v>10070</v>
      </c>
    </row>
    <row r="3245" spans="1:11">
      <c r="A3245" s="90" t="s">
        <v>6730</v>
      </c>
      <c r="B3245" s="90" t="s">
        <v>6731</v>
      </c>
      <c r="C3245" s="90" t="s">
        <v>13</v>
      </c>
      <c r="D3245" s="90" t="str">
        <f>VLOOKUP(Tabela1[[#This Row],[Origem]],'Perguntas 1 a 24'!$J$28:$K$34,2,FALSE)</f>
        <v>Sudeste</v>
      </c>
      <c r="E3245" s="90" t="s">
        <v>14580</v>
      </c>
      <c r="F3245" s="91">
        <v>47446</v>
      </c>
      <c r="G3245" s="92">
        <v>113616</v>
      </c>
      <c r="H3245" s="90" t="s">
        <v>14</v>
      </c>
      <c r="I32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5" s="90" t="s">
        <v>6349</v>
      </c>
    </row>
    <row r="3246" spans="1:11">
      <c r="A3246" s="90" t="s">
        <v>8504</v>
      </c>
      <c r="B3246" s="90" t="s">
        <v>8505</v>
      </c>
      <c r="C3246" s="90" t="s">
        <v>13</v>
      </c>
      <c r="D3246" s="90" t="str">
        <f>VLOOKUP(Tabela1[[#This Row],[Origem]],'Perguntas 1 a 24'!$J$28:$K$34,2,FALSE)</f>
        <v>Sudeste</v>
      </c>
      <c r="E3246" s="90" t="s">
        <v>14581</v>
      </c>
      <c r="F3246" s="91">
        <v>47446</v>
      </c>
      <c r="G3246" s="92">
        <v>39988</v>
      </c>
      <c r="H3246" s="90" t="s">
        <v>14</v>
      </c>
      <c r="I32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6" s="90" t="s">
        <v>8828</v>
      </c>
    </row>
    <row r="3247" spans="1:11">
      <c r="A3247" s="90" t="s">
        <v>6968</v>
      </c>
      <c r="B3247" s="90" t="s">
        <v>6969</v>
      </c>
      <c r="C3247" s="90" t="s">
        <v>13</v>
      </c>
      <c r="D3247" s="90" t="str">
        <f>VLOOKUP(Tabela1[[#This Row],[Origem]],'Perguntas 1 a 24'!$J$28:$K$34,2,FALSE)</f>
        <v>Sudeste</v>
      </c>
      <c r="E3247" s="90" t="s">
        <v>14582</v>
      </c>
      <c r="F3247" s="91">
        <v>47447</v>
      </c>
      <c r="G3247" s="92">
        <v>115981</v>
      </c>
      <c r="H3247" s="90" t="s">
        <v>7</v>
      </c>
      <c r="I32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7" s="90" t="s">
        <v>6995</v>
      </c>
    </row>
    <row r="3248" spans="1:11">
      <c r="A3248" s="90" t="s">
        <v>10069</v>
      </c>
      <c r="B3248" s="90" t="s">
        <v>10070</v>
      </c>
      <c r="C3248" s="90" t="s">
        <v>8</v>
      </c>
      <c r="D3248" s="90" t="str">
        <f>VLOOKUP(Tabela1[[#This Row],[Origem]],'Perguntas 1 a 24'!$J$28:$K$34,2,FALSE)</f>
        <v>Nordeste</v>
      </c>
      <c r="E3248" s="90" t="s">
        <v>14583</v>
      </c>
      <c r="F3248" s="91">
        <v>47447</v>
      </c>
      <c r="G3248" s="92">
        <v>82245</v>
      </c>
      <c r="H3248" s="90" t="s">
        <v>9</v>
      </c>
      <c r="I32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8" s="90" t="s">
        <v>7009</v>
      </c>
    </row>
    <row r="3249" spans="1:11">
      <c r="A3249" s="90" t="s">
        <v>6348</v>
      </c>
      <c r="B3249" s="90" t="s">
        <v>6349</v>
      </c>
      <c r="C3249" s="90" t="s">
        <v>12</v>
      </c>
      <c r="D3249" s="90" t="str">
        <f>VLOOKUP(Tabela1[[#This Row],[Origem]],'Perguntas 1 a 24'!$J$28:$K$34,2,FALSE)</f>
        <v>Sudeste</v>
      </c>
      <c r="E3249" s="90" t="s">
        <v>14584</v>
      </c>
      <c r="F3249" s="91">
        <v>47448</v>
      </c>
      <c r="G3249" s="92">
        <v>114946</v>
      </c>
      <c r="H3249" s="90" t="s">
        <v>7</v>
      </c>
      <c r="I32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49" s="90" t="s">
        <v>8834</v>
      </c>
    </row>
    <row r="3250" spans="1:11">
      <c r="A3250" s="90" t="s">
        <v>8827</v>
      </c>
      <c r="B3250" s="90" t="s">
        <v>8828</v>
      </c>
      <c r="C3250" s="90" t="s">
        <v>8</v>
      </c>
      <c r="D3250" s="90" t="str">
        <f>VLOOKUP(Tabela1[[#This Row],[Origem]],'Perguntas 1 a 24'!$J$28:$K$34,2,FALSE)</f>
        <v>Nordeste</v>
      </c>
      <c r="E3250" s="90" t="s">
        <v>14585</v>
      </c>
      <c r="F3250" s="91">
        <v>47448</v>
      </c>
      <c r="G3250" s="92">
        <v>80273</v>
      </c>
      <c r="H3250" s="90" t="s">
        <v>7</v>
      </c>
      <c r="I32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0" s="90" t="s">
        <v>9962</v>
      </c>
    </row>
    <row r="3251" spans="1:11">
      <c r="A3251" s="90" t="s">
        <v>6994</v>
      </c>
      <c r="B3251" s="90" t="s">
        <v>6995</v>
      </c>
      <c r="C3251" s="90" t="s">
        <v>10</v>
      </c>
      <c r="D3251" s="90" t="str">
        <f>VLOOKUP(Tabela1[[#This Row],[Origem]],'Perguntas 1 a 24'!$J$28:$K$34,2,FALSE)</f>
        <v>Centro-Oeste</v>
      </c>
      <c r="E3251" s="90" t="s">
        <v>14586</v>
      </c>
      <c r="F3251" s="91">
        <v>47449</v>
      </c>
      <c r="G3251" s="92">
        <v>116501</v>
      </c>
      <c r="H3251" s="90" t="s">
        <v>14</v>
      </c>
      <c r="I32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1" s="90" t="s">
        <v>4486</v>
      </c>
    </row>
    <row r="3252" spans="1:11">
      <c r="A3252" s="90" t="s">
        <v>7008</v>
      </c>
      <c r="B3252" s="90" t="s">
        <v>7009</v>
      </c>
      <c r="C3252" s="90" t="s">
        <v>10</v>
      </c>
      <c r="D3252" s="90" t="str">
        <f>VLOOKUP(Tabela1[[#This Row],[Origem]],'Perguntas 1 a 24'!$J$28:$K$34,2,FALSE)</f>
        <v>Centro-Oeste</v>
      </c>
      <c r="E3252" s="90" t="s">
        <v>14587</v>
      </c>
      <c r="F3252" s="91">
        <v>47449</v>
      </c>
      <c r="G3252" s="92">
        <v>22496</v>
      </c>
      <c r="H3252" s="90" t="s">
        <v>11</v>
      </c>
      <c r="I32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2" s="90" t="s">
        <v>8143</v>
      </c>
    </row>
    <row r="3253" spans="1:11">
      <c r="A3253" s="90" t="s">
        <v>8833</v>
      </c>
      <c r="B3253" s="90" t="s">
        <v>8834</v>
      </c>
      <c r="C3253" s="90" t="s">
        <v>16</v>
      </c>
      <c r="D3253" s="90" t="str">
        <f>VLOOKUP(Tabela1[[#This Row],[Origem]],'Perguntas 1 a 24'!$J$28:$K$34,2,FALSE)</f>
        <v>Sudeste</v>
      </c>
      <c r="E3253" s="90" t="s">
        <v>14588</v>
      </c>
      <c r="F3253" s="91">
        <v>47450</v>
      </c>
      <c r="G3253" s="92">
        <v>107702</v>
      </c>
      <c r="H3253" s="90" t="s">
        <v>11</v>
      </c>
      <c r="I32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3" s="90" t="s">
        <v>10152</v>
      </c>
    </row>
    <row r="3254" spans="1:11">
      <c r="A3254" s="90" t="s">
        <v>9961</v>
      </c>
      <c r="B3254" s="90" t="s">
        <v>9962</v>
      </c>
      <c r="C3254" s="90" t="s">
        <v>12</v>
      </c>
      <c r="D3254" s="90" t="str">
        <f>VLOOKUP(Tabela1[[#This Row],[Origem]],'Perguntas 1 a 24'!$J$28:$K$34,2,FALSE)</f>
        <v>Sudeste</v>
      </c>
      <c r="E3254" s="90" t="s">
        <v>14589</v>
      </c>
      <c r="F3254" s="91">
        <v>47450</v>
      </c>
      <c r="G3254" s="92">
        <v>68751</v>
      </c>
      <c r="H3254" s="90" t="s">
        <v>14</v>
      </c>
      <c r="I32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4" s="90" t="s">
        <v>10470</v>
      </c>
    </row>
    <row r="3255" spans="1:11">
      <c r="A3255" s="90" t="s">
        <v>4485</v>
      </c>
      <c r="B3255" s="90" t="s">
        <v>4486</v>
      </c>
      <c r="C3255" s="90" t="s">
        <v>6</v>
      </c>
      <c r="D3255" s="90" t="str">
        <f>VLOOKUP(Tabela1[[#This Row],[Origem]],'Perguntas 1 a 24'!$J$28:$K$34,2,FALSE)</f>
        <v>Nordeste</v>
      </c>
      <c r="E3255" s="90" t="s">
        <v>14590</v>
      </c>
      <c r="F3255" s="91">
        <v>47453</v>
      </c>
      <c r="G3255" s="92">
        <v>116585</v>
      </c>
      <c r="H3255" s="90" t="s">
        <v>9</v>
      </c>
      <c r="I32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5" s="90" t="s">
        <v>6289</v>
      </c>
    </row>
    <row r="3256" spans="1:11">
      <c r="A3256" s="90" t="s">
        <v>8142</v>
      </c>
      <c r="B3256" s="90" t="s">
        <v>8143</v>
      </c>
      <c r="C3256" s="90" t="s">
        <v>15</v>
      </c>
      <c r="D3256" s="90" t="str">
        <f>VLOOKUP(Tabela1[[#This Row],[Origem]],'Perguntas 1 a 24'!$J$28:$K$34,2,FALSE)</f>
        <v>Sudeste</v>
      </c>
      <c r="E3256" s="90" t="s">
        <v>14591</v>
      </c>
      <c r="F3256" s="91">
        <v>47453</v>
      </c>
      <c r="G3256" s="92">
        <v>56747</v>
      </c>
      <c r="H3256" s="90" t="s">
        <v>14</v>
      </c>
      <c r="I32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6" s="90" t="s">
        <v>6673</v>
      </c>
    </row>
    <row r="3257" spans="1:11">
      <c r="A3257" s="90" t="s">
        <v>10151</v>
      </c>
      <c r="B3257" s="90" t="s">
        <v>10152</v>
      </c>
      <c r="C3257" s="90" t="s">
        <v>15</v>
      </c>
      <c r="D3257" s="90" t="str">
        <f>VLOOKUP(Tabela1[[#This Row],[Origem]],'Perguntas 1 a 24'!$J$28:$K$34,2,FALSE)</f>
        <v>Sudeste</v>
      </c>
      <c r="E3257" s="90" t="s">
        <v>14592</v>
      </c>
      <c r="F3257" s="91">
        <v>47453</v>
      </c>
      <c r="G3257" s="92">
        <v>58235</v>
      </c>
      <c r="H3257" s="90" t="s">
        <v>11</v>
      </c>
      <c r="I32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7" s="90" t="s">
        <v>6739</v>
      </c>
    </row>
    <row r="3258" spans="1:11">
      <c r="A3258" s="90" t="s">
        <v>10469</v>
      </c>
      <c r="B3258" s="90" t="s">
        <v>10470</v>
      </c>
      <c r="C3258" s="90" t="s">
        <v>6</v>
      </c>
      <c r="D3258" s="90" t="str">
        <f>VLOOKUP(Tabela1[[#This Row],[Origem]],'Perguntas 1 a 24'!$J$28:$K$34,2,FALSE)</f>
        <v>Nordeste</v>
      </c>
      <c r="E3258" s="90" t="s">
        <v>14593</v>
      </c>
      <c r="F3258" s="91">
        <v>47454</v>
      </c>
      <c r="G3258" s="92">
        <v>74390</v>
      </c>
      <c r="H3258" s="90" t="s">
        <v>14</v>
      </c>
      <c r="I32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8" s="90" t="s">
        <v>8127</v>
      </c>
    </row>
    <row r="3259" spans="1:11">
      <c r="A3259" s="90" t="s">
        <v>6288</v>
      </c>
      <c r="B3259" s="90" t="s">
        <v>6289</v>
      </c>
      <c r="C3259" s="90" t="s">
        <v>15</v>
      </c>
      <c r="D3259" s="90" t="str">
        <f>VLOOKUP(Tabela1[[#This Row],[Origem]],'Perguntas 1 a 24'!$J$28:$K$34,2,FALSE)</f>
        <v>Sudeste</v>
      </c>
      <c r="E3259" s="90" t="s">
        <v>14594</v>
      </c>
      <c r="F3259" s="91">
        <v>47455</v>
      </c>
      <c r="G3259" s="92">
        <v>92331</v>
      </c>
      <c r="H3259" s="90" t="s">
        <v>14</v>
      </c>
      <c r="I32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59" s="90" t="s">
        <v>9000</v>
      </c>
    </row>
    <row r="3260" spans="1:11">
      <c r="A3260" s="90" t="s">
        <v>6672</v>
      </c>
      <c r="B3260" s="90" t="s">
        <v>6673</v>
      </c>
      <c r="C3260" s="90" t="s">
        <v>13</v>
      </c>
      <c r="D3260" s="90" t="str">
        <f>VLOOKUP(Tabela1[[#This Row],[Origem]],'Perguntas 1 a 24'!$J$28:$K$34,2,FALSE)</f>
        <v>Sudeste</v>
      </c>
      <c r="E3260" s="90" t="s">
        <v>14595</v>
      </c>
      <c r="F3260" s="91">
        <v>47455</v>
      </c>
      <c r="G3260" s="92">
        <v>85670</v>
      </c>
      <c r="H3260" s="90" t="s">
        <v>11</v>
      </c>
      <c r="I32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0" s="90" t="s">
        <v>7191</v>
      </c>
    </row>
    <row r="3261" spans="1:11">
      <c r="A3261" s="90" t="s">
        <v>6738</v>
      </c>
      <c r="B3261" s="90" t="s">
        <v>6739</v>
      </c>
      <c r="C3261" s="90" t="s">
        <v>16</v>
      </c>
      <c r="D3261" s="90" t="str">
        <f>VLOOKUP(Tabela1[[#This Row],[Origem]],'Perguntas 1 a 24'!$J$28:$K$34,2,FALSE)</f>
        <v>Sudeste</v>
      </c>
      <c r="E3261" s="90" t="s">
        <v>14596</v>
      </c>
      <c r="F3261" s="91">
        <v>47456</v>
      </c>
      <c r="G3261" s="92">
        <v>60083</v>
      </c>
      <c r="H3261" s="90" t="s">
        <v>9</v>
      </c>
      <c r="I32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1" s="90" t="s">
        <v>11073</v>
      </c>
    </row>
    <row r="3262" spans="1:11">
      <c r="A3262" s="90" t="s">
        <v>8126</v>
      </c>
      <c r="B3262" s="90" t="s">
        <v>8127</v>
      </c>
      <c r="C3262" s="90" t="s">
        <v>10</v>
      </c>
      <c r="D3262" s="90" t="str">
        <f>VLOOKUP(Tabela1[[#This Row],[Origem]],'Perguntas 1 a 24'!$J$28:$K$34,2,FALSE)</f>
        <v>Centro-Oeste</v>
      </c>
      <c r="E3262" s="90" t="s">
        <v>14597</v>
      </c>
      <c r="F3262" s="91">
        <v>47458</v>
      </c>
      <c r="G3262" s="92">
        <v>40331</v>
      </c>
      <c r="H3262" s="90" t="s">
        <v>11</v>
      </c>
      <c r="I32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2" s="90" t="s">
        <v>4153</v>
      </c>
    </row>
    <row r="3263" spans="1:11">
      <c r="A3263" s="90" t="s">
        <v>8999</v>
      </c>
      <c r="B3263" s="90" t="s">
        <v>9000</v>
      </c>
      <c r="C3263" s="90" t="s">
        <v>15</v>
      </c>
      <c r="D3263" s="90" t="str">
        <f>VLOOKUP(Tabela1[[#This Row],[Origem]],'Perguntas 1 a 24'!$J$28:$K$34,2,FALSE)</f>
        <v>Sudeste</v>
      </c>
      <c r="E3263" s="90" t="s">
        <v>14598</v>
      </c>
      <c r="F3263" s="91">
        <v>47458</v>
      </c>
      <c r="G3263" s="92">
        <v>119354</v>
      </c>
      <c r="H3263" s="90" t="s">
        <v>9</v>
      </c>
      <c r="I32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3" s="90" t="s">
        <v>4495</v>
      </c>
    </row>
    <row r="3264" spans="1:11">
      <c r="A3264" s="90" t="s">
        <v>7190</v>
      </c>
      <c r="B3264" s="90" t="s">
        <v>7191</v>
      </c>
      <c r="C3264" s="90" t="s">
        <v>10</v>
      </c>
      <c r="D3264" s="90" t="str">
        <f>VLOOKUP(Tabela1[[#This Row],[Origem]],'Perguntas 1 a 24'!$J$28:$K$34,2,FALSE)</f>
        <v>Centro-Oeste</v>
      </c>
      <c r="E3264" s="90" t="s">
        <v>14599</v>
      </c>
      <c r="F3264" s="91">
        <v>47459</v>
      </c>
      <c r="G3264" s="92">
        <v>117644</v>
      </c>
      <c r="H3264" s="90" t="s">
        <v>7</v>
      </c>
      <c r="I32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4" s="90" t="s">
        <v>7775</v>
      </c>
    </row>
    <row r="3265" spans="1:11">
      <c r="A3265" s="90" t="s">
        <v>11072</v>
      </c>
      <c r="B3265" s="90" t="s">
        <v>11073</v>
      </c>
      <c r="C3265" s="90" t="s">
        <v>15</v>
      </c>
      <c r="D3265" s="90" t="str">
        <f>VLOOKUP(Tabela1[[#This Row],[Origem]],'Perguntas 1 a 24'!$J$28:$K$34,2,FALSE)</f>
        <v>Sudeste</v>
      </c>
      <c r="E3265" s="90" t="s">
        <v>14600</v>
      </c>
      <c r="F3265" s="91">
        <v>47459</v>
      </c>
      <c r="G3265" s="92">
        <v>80817</v>
      </c>
      <c r="H3265" s="90" t="s">
        <v>9</v>
      </c>
      <c r="I32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5" s="90" t="s">
        <v>5033</v>
      </c>
    </row>
    <row r="3266" spans="1:11">
      <c r="A3266" s="90" t="s">
        <v>4152</v>
      </c>
      <c r="B3266" s="90" t="s">
        <v>4153</v>
      </c>
      <c r="C3266" s="90" t="s">
        <v>6</v>
      </c>
      <c r="D3266" s="90" t="str">
        <f>VLOOKUP(Tabela1[[#This Row],[Origem]],'Perguntas 1 a 24'!$J$28:$K$34,2,FALSE)</f>
        <v>Nordeste</v>
      </c>
      <c r="E3266" s="90" t="s">
        <v>14601</v>
      </c>
      <c r="F3266" s="91">
        <v>47460</v>
      </c>
      <c r="G3266" s="92">
        <v>32684</v>
      </c>
      <c r="H3266" s="90" t="s">
        <v>7</v>
      </c>
      <c r="I32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6" s="90" t="s">
        <v>9904</v>
      </c>
    </row>
    <row r="3267" spans="1:11">
      <c r="A3267" s="90" t="s">
        <v>4494</v>
      </c>
      <c r="B3267" s="90" t="s">
        <v>4495</v>
      </c>
      <c r="C3267" s="90" t="s">
        <v>15</v>
      </c>
      <c r="D3267" s="90" t="str">
        <f>VLOOKUP(Tabela1[[#This Row],[Origem]],'Perguntas 1 a 24'!$J$28:$K$34,2,FALSE)</f>
        <v>Sudeste</v>
      </c>
      <c r="E3267" s="90" t="s">
        <v>14602</v>
      </c>
      <c r="F3267" s="91">
        <v>47460</v>
      </c>
      <c r="G3267" s="92">
        <v>112171</v>
      </c>
      <c r="H3267" s="90" t="s">
        <v>7</v>
      </c>
      <c r="I32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7" s="90" t="s">
        <v>4294</v>
      </c>
    </row>
    <row r="3268" spans="1:11">
      <c r="A3268" s="90" t="s">
        <v>7774</v>
      </c>
      <c r="B3268" s="90" t="s">
        <v>7775</v>
      </c>
      <c r="C3268" s="90" t="s">
        <v>13</v>
      </c>
      <c r="D3268" s="90" t="str">
        <f>VLOOKUP(Tabela1[[#This Row],[Origem]],'Perguntas 1 a 24'!$J$28:$K$34,2,FALSE)</f>
        <v>Sudeste</v>
      </c>
      <c r="E3268" s="90" t="s">
        <v>14603</v>
      </c>
      <c r="F3268" s="91">
        <v>47460</v>
      </c>
      <c r="G3268" s="92">
        <v>52063</v>
      </c>
      <c r="H3268" s="90" t="s">
        <v>9</v>
      </c>
      <c r="I32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8" s="90" t="s">
        <v>5479</v>
      </c>
    </row>
    <row r="3269" spans="1:11">
      <c r="A3269" s="90" t="s">
        <v>5032</v>
      </c>
      <c r="B3269" s="90" t="s">
        <v>5033</v>
      </c>
      <c r="C3269" s="90" t="s">
        <v>10</v>
      </c>
      <c r="D3269" s="90" t="str">
        <f>VLOOKUP(Tabela1[[#This Row],[Origem]],'Perguntas 1 a 24'!$J$28:$K$34,2,FALSE)</f>
        <v>Centro-Oeste</v>
      </c>
      <c r="E3269" s="90" t="s">
        <v>14604</v>
      </c>
      <c r="F3269" s="91">
        <v>47461</v>
      </c>
      <c r="G3269" s="92">
        <v>22283</v>
      </c>
      <c r="H3269" s="90" t="s">
        <v>7</v>
      </c>
      <c r="I32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69" s="90" t="s">
        <v>5611</v>
      </c>
    </row>
    <row r="3270" spans="1:11">
      <c r="A3270" s="90" t="s">
        <v>9903</v>
      </c>
      <c r="B3270" s="90" t="s">
        <v>9904</v>
      </c>
      <c r="C3270" s="90" t="s">
        <v>16</v>
      </c>
      <c r="D3270" s="90" t="str">
        <f>VLOOKUP(Tabela1[[#This Row],[Origem]],'Perguntas 1 a 24'!$J$28:$K$34,2,FALSE)</f>
        <v>Sudeste</v>
      </c>
      <c r="E3270" s="90" t="s">
        <v>14605</v>
      </c>
      <c r="F3270" s="91">
        <v>47461</v>
      </c>
      <c r="G3270" s="92">
        <v>36159</v>
      </c>
      <c r="H3270" s="90" t="s">
        <v>7</v>
      </c>
      <c r="I32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0" s="90" t="s">
        <v>7813</v>
      </c>
    </row>
    <row r="3271" spans="1:11">
      <c r="A3271" s="90" t="s">
        <v>4293</v>
      </c>
      <c r="B3271" s="90" t="s">
        <v>4294</v>
      </c>
      <c r="C3271" s="90" t="s">
        <v>10</v>
      </c>
      <c r="D3271" s="90" t="str">
        <f>VLOOKUP(Tabela1[[#This Row],[Origem]],'Perguntas 1 a 24'!$J$28:$K$34,2,FALSE)</f>
        <v>Centro-Oeste</v>
      </c>
      <c r="E3271" s="90" t="s">
        <v>14606</v>
      </c>
      <c r="F3271" s="91">
        <v>47462</v>
      </c>
      <c r="G3271" s="92">
        <v>33948</v>
      </c>
      <c r="H3271" s="90" t="s">
        <v>14</v>
      </c>
      <c r="I32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1" s="90" t="s">
        <v>8023</v>
      </c>
    </row>
    <row r="3272" spans="1:11">
      <c r="A3272" s="90" t="s">
        <v>5478</v>
      </c>
      <c r="B3272" s="90" t="s">
        <v>5479</v>
      </c>
      <c r="C3272" s="90" t="s">
        <v>15</v>
      </c>
      <c r="D3272" s="90" t="str">
        <f>VLOOKUP(Tabela1[[#This Row],[Origem]],'Perguntas 1 a 24'!$J$28:$K$34,2,FALSE)</f>
        <v>Sudeste</v>
      </c>
      <c r="E3272" s="90" t="s">
        <v>14607</v>
      </c>
      <c r="F3272" s="91">
        <v>47462</v>
      </c>
      <c r="G3272" s="92">
        <v>42410</v>
      </c>
      <c r="H3272" s="90" t="s">
        <v>14</v>
      </c>
      <c r="I32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2" s="90" t="s">
        <v>9302</v>
      </c>
    </row>
    <row r="3273" spans="1:11">
      <c r="A3273" s="90" t="s">
        <v>5610</v>
      </c>
      <c r="B3273" s="90" t="s">
        <v>5611</v>
      </c>
      <c r="C3273" s="90" t="s">
        <v>8</v>
      </c>
      <c r="D3273" s="90" t="str">
        <f>VLOOKUP(Tabela1[[#This Row],[Origem]],'Perguntas 1 a 24'!$J$28:$K$34,2,FALSE)</f>
        <v>Nordeste</v>
      </c>
      <c r="E3273" s="90" t="s">
        <v>14608</v>
      </c>
      <c r="F3273" s="91">
        <v>47462</v>
      </c>
      <c r="G3273" s="92">
        <v>23046</v>
      </c>
      <c r="H3273" s="90" t="s">
        <v>11</v>
      </c>
      <c r="I32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3" s="90" t="s">
        <v>6913</v>
      </c>
    </row>
    <row r="3274" spans="1:11">
      <c r="A3274" s="90" t="s">
        <v>7812</v>
      </c>
      <c r="B3274" s="90" t="s">
        <v>7813</v>
      </c>
      <c r="C3274" s="90" t="s">
        <v>15</v>
      </c>
      <c r="D3274" s="90" t="str">
        <f>VLOOKUP(Tabela1[[#This Row],[Origem]],'Perguntas 1 a 24'!$J$28:$K$34,2,FALSE)</f>
        <v>Sudeste</v>
      </c>
      <c r="E3274" s="90" t="s">
        <v>14609</v>
      </c>
      <c r="F3274" s="91">
        <v>47462</v>
      </c>
      <c r="G3274" s="92">
        <v>36718</v>
      </c>
      <c r="H3274" s="90" t="s">
        <v>14</v>
      </c>
      <c r="I32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4" s="90" t="s">
        <v>6949</v>
      </c>
    </row>
    <row r="3275" spans="1:11">
      <c r="A3275" s="90" t="s">
        <v>8022</v>
      </c>
      <c r="B3275" s="90" t="s">
        <v>8023</v>
      </c>
      <c r="C3275" s="90" t="s">
        <v>10</v>
      </c>
      <c r="D3275" s="90" t="str">
        <f>VLOOKUP(Tabela1[[#This Row],[Origem]],'Perguntas 1 a 24'!$J$28:$K$34,2,FALSE)</f>
        <v>Centro-Oeste</v>
      </c>
      <c r="E3275" s="90" t="s">
        <v>14610</v>
      </c>
      <c r="F3275" s="91">
        <v>47462</v>
      </c>
      <c r="G3275" s="92">
        <v>100793</v>
      </c>
      <c r="H3275" s="90" t="s">
        <v>7</v>
      </c>
      <c r="I32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5" s="90" t="s">
        <v>9586</v>
      </c>
    </row>
    <row r="3276" spans="1:11">
      <c r="A3276" s="90" t="s">
        <v>9301</v>
      </c>
      <c r="B3276" s="90" t="s">
        <v>9302</v>
      </c>
      <c r="C3276" s="90" t="s">
        <v>6</v>
      </c>
      <c r="D3276" s="90" t="str">
        <f>VLOOKUP(Tabela1[[#This Row],[Origem]],'Perguntas 1 a 24'!$J$28:$K$34,2,FALSE)</f>
        <v>Nordeste</v>
      </c>
      <c r="E3276" s="90" t="s">
        <v>14611</v>
      </c>
      <c r="F3276" s="91">
        <v>47462</v>
      </c>
      <c r="G3276" s="92">
        <v>44629</v>
      </c>
      <c r="H3276" s="90" t="s">
        <v>11</v>
      </c>
      <c r="I32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6" s="90" t="s">
        <v>6197</v>
      </c>
    </row>
    <row r="3277" spans="1:11">
      <c r="A3277" s="90" t="s">
        <v>6912</v>
      </c>
      <c r="B3277" s="90" t="s">
        <v>6913</v>
      </c>
      <c r="C3277" s="90" t="s">
        <v>8</v>
      </c>
      <c r="D3277" s="90" t="str">
        <f>VLOOKUP(Tabela1[[#This Row],[Origem]],'Perguntas 1 a 24'!$J$28:$K$34,2,FALSE)</f>
        <v>Nordeste</v>
      </c>
      <c r="E3277" s="90" t="s">
        <v>14612</v>
      </c>
      <c r="F3277" s="91">
        <v>47463</v>
      </c>
      <c r="G3277" s="92">
        <v>64900</v>
      </c>
      <c r="H3277" s="90" t="s">
        <v>9</v>
      </c>
      <c r="I32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7" s="90" t="s">
        <v>7083</v>
      </c>
    </row>
    <row r="3278" spans="1:11">
      <c r="A3278" s="90" t="s">
        <v>6948</v>
      </c>
      <c r="B3278" s="90" t="s">
        <v>6949</v>
      </c>
      <c r="C3278" s="90" t="s">
        <v>15</v>
      </c>
      <c r="D3278" s="90" t="str">
        <f>VLOOKUP(Tabela1[[#This Row],[Origem]],'Perguntas 1 a 24'!$J$28:$K$34,2,FALSE)</f>
        <v>Sudeste</v>
      </c>
      <c r="E3278" s="90" t="s">
        <v>14613</v>
      </c>
      <c r="F3278" s="91">
        <v>47464</v>
      </c>
      <c r="G3278" s="92">
        <v>55249</v>
      </c>
      <c r="H3278" s="90" t="s">
        <v>11</v>
      </c>
      <c r="I32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8" s="90" t="s">
        <v>8804</v>
      </c>
    </row>
    <row r="3279" spans="1:11">
      <c r="A3279" s="90" t="s">
        <v>9585</v>
      </c>
      <c r="B3279" s="90" t="s">
        <v>9586</v>
      </c>
      <c r="C3279" s="90" t="s">
        <v>8</v>
      </c>
      <c r="D3279" s="90" t="str">
        <f>VLOOKUP(Tabela1[[#This Row],[Origem]],'Perguntas 1 a 24'!$J$28:$K$34,2,FALSE)</f>
        <v>Nordeste</v>
      </c>
      <c r="E3279" s="90" t="s">
        <v>14614</v>
      </c>
      <c r="F3279" s="91">
        <v>47464</v>
      </c>
      <c r="G3279" s="92">
        <v>100210</v>
      </c>
      <c r="H3279" s="90" t="s">
        <v>7</v>
      </c>
      <c r="I32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79" s="90" t="s">
        <v>9680</v>
      </c>
    </row>
    <row r="3280" spans="1:11">
      <c r="A3280" s="90" t="s">
        <v>6196</v>
      </c>
      <c r="B3280" s="90" t="s">
        <v>6197</v>
      </c>
      <c r="C3280" s="90" t="s">
        <v>13</v>
      </c>
      <c r="D3280" s="90" t="str">
        <f>VLOOKUP(Tabela1[[#This Row],[Origem]],'Perguntas 1 a 24'!$J$28:$K$34,2,FALSE)</f>
        <v>Sudeste</v>
      </c>
      <c r="E3280" s="90" t="s">
        <v>14615</v>
      </c>
      <c r="F3280" s="91">
        <v>47465</v>
      </c>
      <c r="G3280" s="92">
        <v>117144</v>
      </c>
      <c r="H3280" s="90" t="s">
        <v>14</v>
      </c>
      <c r="I32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0" s="90" t="s">
        <v>11170</v>
      </c>
    </row>
    <row r="3281" spans="1:11">
      <c r="A3281" s="90" t="s">
        <v>7082</v>
      </c>
      <c r="B3281" s="90" t="s">
        <v>7083</v>
      </c>
      <c r="C3281" s="90" t="s">
        <v>8</v>
      </c>
      <c r="D3281" s="90" t="str">
        <f>VLOOKUP(Tabela1[[#This Row],[Origem]],'Perguntas 1 a 24'!$J$28:$K$34,2,FALSE)</f>
        <v>Nordeste</v>
      </c>
      <c r="E3281" s="90" t="s">
        <v>14616</v>
      </c>
      <c r="F3281" s="91">
        <v>47465</v>
      </c>
      <c r="G3281" s="92">
        <v>102582</v>
      </c>
      <c r="H3281" s="90" t="s">
        <v>11</v>
      </c>
      <c r="I32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1" s="90" t="s">
        <v>4859</v>
      </c>
    </row>
    <row r="3282" spans="1:11">
      <c r="A3282" s="90" t="s">
        <v>8803</v>
      </c>
      <c r="B3282" s="90" t="s">
        <v>8804</v>
      </c>
      <c r="C3282" s="90" t="s">
        <v>10</v>
      </c>
      <c r="D3282" s="90" t="str">
        <f>VLOOKUP(Tabela1[[#This Row],[Origem]],'Perguntas 1 a 24'!$J$28:$K$34,2,FALSE)</f>
        <v>Centro-Oeste</v>
      </c>
      <c r="E3282" s="90" t="s">
        <v>14617</v>
      </c>
      <c r="F3282" s="91">
        <v>47465</v>
      </c>
      <c r="G3282" s="92">
        <v>90728</v>
      </c>
      <c r="H3282" s="90" t="s">
        <v>11</v>
      </c>
      <c r="I32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2" s="90" t="s">
        <v>9168</v>
      </c>
    </row>
    <row r="3283" spans="1:11">
      <c r="A3283" s="90" t="s">
        <v>9679</v>
      </c>
      <c r="B3283" s="90" t="s">
        <v>9680</v>
      </c>
      <c r="C3283" s="90" t="s">
        <v>8</v>
      </c>
      <c r="D3283" s="90" t="str">
        <f>VLOOKUP(Tabela1[[#This Row],[Origem]],'Perguntas 1 a 24'!$J$28:$K$34,2,FALSE)</f>
        <v>Nordeste</v>
      </c>
      <c r="E3283" s="90" t="s">
        <v>14618</v>
      </c>
      <c r="F3283" s="91">
        <v>47465</v>
      </c>
      <c r="G3283" s="92">
        <v>30562</v>
      </c>
      <c r="H3283" s="90" t="s">
        <v>14</v>
      </c>
      <c r="I32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3" s="90" t="s">
        <v>4214</v>
      </c>
    </row>
    <row r="3284" spans="1:11">
      <c r="A3284" s="90" t="s">
        <v>11169</v>
      </c>
      <c r="B3284" s="90" t="s">
        <v>11170</v>
      </c>
      <c r="C3284" s="90" t="s">
        <v>13</v>
      </c>
      <c r="D3284" s="90" t="str">
        <f>VLOOKUP(Tabela1[[#This Row],[Origem]],'Perguntas 1 a 24'!$J$28:$K$34,2,FALSE)</f>
        <v>Sudeste</v>
      </c>
      <c r="E3284" s="90" t="s">
        <v>14619</v>
      </c>
      <c r="F3284" s="91">
        <v>47465</v>
      </c>
      <c r="G3284" s="92">
        <v>114545</v>
      </c>
      <c r="H3284" s="90" t="s">
        <v>7</v>
      </c>
      <c r="I32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4" s="90" t="s">
        <v>6207</v>
      </c>
    </row>
    <row r="3285" spans="1:11">
      <c r="A3285" s="90" t="s">
        <v>4858</v>
      </c>
      <c r="B3285" s="90" t="s">
        <v>4859</v>
      </c>
      <c r="C3285" s="90" t="s">
        <v>6</v>
      </c>
      <c r="D3285" s="90" t="str">
        <f>VLOOKUP(Tabela1[[#This Row],[Origem]],'Perguntas 1 a 24'!$J$28:$K$34,2,FALSE)</f>
        <v>Nordeste</v>
      </c>
      <c r="E3285" s="90" t="s">
        <v>14620</v>
      </c>
      <c r="F3285" s="91">
        <v>47466</v>
      </c>
      <c r="G3285" s="92">
        <v>92445</v>
      </c>
      <c r="H3285" s="90" t="s">
        <v>9</v>
      </c>
      <c r="I32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5" s="90" t="s">
        <v>7337</v>
      </c>
    </row>
    <row r="3286" spans="1:11">
      <c r="A3286" s="90" t="s">
        <v>9167</v>
      </c>
      <c r="B3286" s="90" t="s">
        <v>9168</v>
      </c>
      <c r="C3286" s="90" t="s">
        <v>12</v>
      </c>
      <c r="D3286" s="90" t="str">
        <f>VLOOKUP(Tabela1[[#This Row],[Origem]],'Perguntas 1 a 24'!$J$28:$K$34,2,FALSE)</f>
        <v>Sudeste</v>
      </c>
      <c r="E3286" s="90" t="s">
        <v>14621</v>
      </c>
      <c r="F3286" s="91">
        <v>47466</v>
      </c>
      <c r="G3286" s="92">
        <v>28737</v>
      </c>
      <c r="H3286" s="90" t="s">
        <v>11</v>
      </c>
      <c r="I32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6" s="90" t="s">
        <v>9148</v>
      </c>
    </row>
    <row r="3287" spans="1:11">
      <c r="A3287" s="90" t="s">
        <v>4213</v>
      </c>
      <c r="B3287" s="90" t="s">
        <v>4214</v>
      </c>
      <c r="C3287" s="90" t="s">
        <v>8</v>
      </c>
      <c r="D3287" s="90" t="str">
        <f>VLOOKUP(Tabela1[[#This Row],[Origem]],'Perguntas 1 a 24'!$J$28:$K$34,2,FALSE)</f>
        <v>Nordeste</v>
      </c>
      <c r="E3287" s="90" t="s">
        <v>14622</v>
      </c>
      <c r="F3287" s="91">
        <v>47469</v>
      </c>
      <c r="G3287" s="92">
        <v>73258</v>
      </c>
      <c r="H3287" s="90" t="s">
        <v>9</v>
      </c>
      <c r="I32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7" s="90" t="s">
        <v>6473</v>
      </c>
    </row>
    <row r="3288" spans="1:11">
      <c r="A3288" s="90" t="s">
        <v>6206</v>
      </c>
      <c r="B3288" s="90" t="s">
        <v>6207</v>
      </c>
      <c r="C3288" s="90" t="s">
        <v>16</v>
      </c>
      <c r="D3288" s="90" t="str">
        <f>VLOOKUP(Tabela1[[#This Row],[Origem]],'Perguntas 1 a 24'!$J$28:$K$34,2,FALSE)</f>
        <v>Sudeste</v>
      </c>
      <c r="E3288" s="90" t="s">
        <v>14623</v>
      </c>
      <c r="F3288" s="91">
        <v>47469</v>
      </c>
      <c r="G3288" s="92">
        <v>68672</v>
      </c>
      <c r="H3288" s="90" t="s">
        <v>14</v>
      </c>
      <c r="I32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8" s="90" t="s">
        <v>4829</v>
      </c>
    </row>
    <row r="3289" spans="1:11">
      <c r="A3289" s="90" t="s">
        <v>7336</v>
      </c>
      <c r="B3289" s="90" t="s">
        <v>7337</v>
      </c>
      <c r="C3289" s="90" t="s">
        <v>16</v>
      </c>
      <c r="D3289" s="90" t="str">
        <f>VLOOKUP(Tabela1[[#This Row],[Origem]],'Perguntas 1 a 24'!$J$28:$K$34,2,FALSE)</f>
        <v>Sudeste</v>
      </c>
      <c r="E3289" s="90" t="s">
        <v>14624</v>
      </c>
      <c r="F3289" s="91">
        <v>47471</v>
      </c>
      <c r="G3289" s="92">
        <v>60204</v>
      </c>
      <c r="H3289" s="90" t="s">
        <v>9</v>
      </c>
      <c r="I32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89" s="90" t="s">
        <v>5573</v>
      </c>
    </row>
    <row r="3290" spans="1:11">
      <c r="A3290" s="90" t="s">
        <v>9147</v>
      </c>
      <c r="B3290" s="90" t="s">
        <v>9148</v>
      </c>
      <c r="C3290" s="90" t="s">
        <v>10</v>
      </c>
      <c r="D3290" s="90" t="str">
        <f>VLOOKUP(Tabela1[[#This Row],[Origem]],'Perguntas 1 a 24'!$J$28:$K$34,2,FALSE)</f>
        <v>Centro-Oeste</v>
      </c>
      <c r="E3290" s="90" t="s">
        <v>14625</v>
      </c>
      <c r="F3290" s="91">
        <v>47471</v>
      </c>
      <c r="G3290" s="92">
        <v>27579</v>
      </c>
      <c r="H3290" s="90" t="s">
        <v>9</v>
      </c>
      <c r="I32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0" s="90" t="s">
        <v>4127</v>
      </c>
    </row>
    <row r="3291" spans="1:11">
      <c r="A3291" s="90" t="s">
        <v>6472</v>
      </c>
      <c r="B3291" s="90" t="s">
        <v>6473</v>
      </c>
      <c r="C3291" s="90" t="s">
        <v>8</v>
      </c>
      <c r="D3291" s="90" t="str">
        <f>VLOOKUP(Tabela1[[#This Row],[Origem]],'Perguntas 1 a 24'!$J$28:$K$34,2,FALSE)</f>
        <v>Nordeste</v>
      </c>
      <c r="E3291" s="90" t="s">
        <v>14626</v>
      </c>
      <c r="F3291" s="91">
        <v>47472</v>
      </c>
      <c r="G3291" s="92">
        <v>42095</v>
      </c>
      <c r="H3291" s="90" t="s">
        <v>14</v>
      </c>
      <c r="I32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1" s="90" t="s">
        <v>8976</v>
      </c>
    </row>
    <row r="3292" spans="1:11">
      <c r="A3292" s="90" t="s">
        <v>4828</v>
      </c>
      <c r="B3292" s="90" t="s">
        <v>4829</v>
      </c>
      <c r="C3292" s="90" t="s">
        <v>16</v>
      </c>
      <c r="D3292" s="90" t="str">
        <f>VLOOKUP(Tabela1[[#This Row],[Origem]],'Perguntas 1 a 24'!$J$28:$K$34,2,FALSE)</f>
        <v>Sudeste</v>
      </c>
      <c r="E3292" s="90" t="s">
        <v>14627</v>
      </c>
      <c r="F3292" s="91">
        <v>47473</v>
      </c>
      <c r="G3292" s="92">
        <v>113960</v>
      </c>
      <c r="H3292" s="90" t="s">
        <v>14</v>
      </c>
      <c r="I32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2" s="90" t="s">
        <v>9140</v>
      </c>
    </row>
    <row r="3293" spans="1:11">
      <c r="A3293" s="90" t="s">
        <v>5572</v>
      </c>
      <c r="B3293" s="90" t="s">
        <v>5573</v>
      </c>
      <c r="C3293" s="90" t="s">
        <v>12</v>
      </c>
      <c r="D3293" s="90" t="str">
        <f>VLOOKUP(Tabela1[[#This Row],[Origem]],'Perguntas 1 a 24'!$J$28:$K$34,2,FALSE)</f>
        <v>Sudeste</v>
      </c>
      <c r="E3293" s="90" t="s">
        <v>14628</v>
      </c>
      <c r="F3293" s="91">
        <v>47473</v>
      </c>
      <c r="G3293" s="92">
        <v>81516</v>
      </c>
      <c r="H3293" s="90" t="s">
        <v>9</v>
      </c>
      <c r="I32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3" s="90" t="s">
        <v>3739</v>
      </c>
    </row>
    <row r="3294" spans="1:11">
      <c r="A3294" s="90" t="s">
        <v>4126</v>
      </c>
      <c r="B3294" s="90" t="s">
        <v>4127</v>
      </c>
      <c r="C3294" s="90" t="s">
        <v>13</v>
      </c>
      <c r="D3294" s="90" t="str">
        <f>VLOOKUP(Tabela1[[#This Row],[Origem]],'Perguntas 1 a 24'!$J$28:$K$34,2,FALSE)</f>
        <v>Sudeste</v>
      </c>
      <c r="E3294" s="90" t="s">
        <v>14629</v>
      </c>
      <c r="F3294" s="91">
        <v>47474</v>
      </c>
      <c r="G3294" s="92">
        <v>78890</v>
      </c>
      <c r="H3294" s="90" t="s">
        <v>11</v>
      </c>
      <c r="I32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4" s="90" t="s">
        <v>4489</v>
      </c>
    </row>
    <row r="3295" spans="1:11">
      <c r="A3295" s="90" t="s">
        <v>8975</v>
      </c>
      <c r="B3295" s="90" t="s">
        <v>8976</v>
      </c>
      <c r="C3295" s="90" t="s">
        <v>6</v>
      </c>
      <c r="D3295" s="90" t="str">
        <f>VLOOKUP(Tabela1[[#This Row],[Origem]],'Perguntas 1 a 24'!$J$28:$K$34,2,FALSE)</f>
        <v>Nordeste</v>
      </c>
      <c r="E3295" s="90" t="s">
        <v>14630</v>
      </c>
      <c r="F3295" s="91">
        <v>47474</v>
      </c>
      <c r="G3295" s="92">
        <v>77096</v>
      </c>
      <c r="H3295" s="90" t="s">
        <v>9</v>
      </c>
      <c r="I32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5" s="90" t="s">
        <v>7973</v>
      </c>
    </row>
    <row r="3296" spans="1:11">
      <c r="A3296" s="90" t="s">
        <v>9139</v>
      </c>
      <c r="B3296" s="90" t="s">
        <v>9140</v>
      </c>
      <c r="C3296" s="90" t="s">
        <v>6</v>
      </c>
      <c r="D3296" s="90" t="str">
        <f>VLOOKUP(Tabela1[[#This Row],[Origem]],'Perguntas 1 a 24'!$J$28:$K$34,2,FALSE)</f>
        <v>Nordeste</v>
      </c>
      <c r="E3296" s="90" t="s">
        <v>14631</v>
      </c>
      <c r="F3296" s="91">
        <v>47474</v>
      </c>
      <c r="G3296" s="92">
        <v>65218</v>
      </c>
      <c r="H3296" s="90" t="s">
        <v>14</v>
      </c>
      <c r="I32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6" s="90" t="s">
        <v>11114</v>
      </c>
    </row>
    <row r="3297" spans="1:11">
      <c r="A3297" s="90" t="s">
        <v>3738</v>
      </c>
      <c r="B3297" s="90" t="s">
        <v>3739</v>
      </c>
      <c r="C3297" s="90" t="s">
        <v>12</v>
      </c>
      <c r="D3297" s="90" t="str">
        <f>VLOOKUP(Tabela1[[#This Row],[Origem]],'Perguntas 1 a 24'!$J$28:$K$34,2,FALSE)</f>
        <v>Sudeste</v>
      </c>
      <c r="E3297" s="90" t="s">
        <v>14632</v>
      </c>
      <c r="F3297" s="91">
        <v>47475</v>
      </c>
      <c r="G3297" s="92">
        <v>37506</v>
      </c>
      <c r="H3297" s="90" t="s">
        <v>9</v>
      </c>
      <c r="I32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7" s="90" t="s">
        <v>3955</v>
      </c>
    </row>
    <row r="3298" spans="1:11">
      <c r="A3298" s="90" t="s">
        <v>4488</v>
      </c>
      <c r="B3298" s="90" t="s">
        <v>4489</v>
      </c>
      <c r="C3298" s="90" t="s">
        <v>13</v>
      </c>
      <c r="D3298" s="90" t="str">
        <f>VLOOKUP(Tabela1[[#This Row],[Origem]],'Perguntas 1 a 24'!$J$28:$K$34,2,FALSE)</f>
        <v>Sudeste</v>
      </c>
      <c r="E3298" s="90" t="s">
        <v>14633</v>
      </c>
      <c r="F3298" s="91">
        <v>47475</v>
      </c>
      <c r="G3298" s="92">
        <v>100626</v>
      </c>
      <c r="H3298" s="90" t="s">
        <v>14</v>
      </c>
      <c r="I32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8" s="90" t="s">
        <v>22</v>
      </c>
    </row>
    <row r="3299" spans="1:11">
      <c r="A3299" s="90" t="s">
        <v>7972</v>
      </c>
      <c r="B3299" s="90" t="s">
        <v>7973</v>
      </c>
      <c r="C3299" s="90" t="s">
        <v>8</v>
      </c>
      <c r="D3299" s="90" t="str">
        <f>VLOOKUP(Tabela1[[#This Row],[Origem]],'Perguntas 1 a 24'!$J$28:$K$34,2,FALSE)</f>
        <v>Nordeste</v>
      </c>
      <c r="E3299" s="90" t="s">
        <v>14634</v>
      </c>
      <c r="F3299" s="91">
        <v>47475</v>
      </c>
      <c r="G3299" s="92">
        <v>76908</v>
      </c>
      <c r="H3299" s="90" t="s">
        <v>11</v>
      </c>
      <c r="I32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299" s="90" t="s">
        <v>5323</v>
      </c>
    </row>
    <row r="3300" spans="1:11">
      <c r="A3300" s="90" t="s">
        <v>11113</v>
      </c>
      <c r="B3300" s="90" t="s">
        <v>11114</v>
      </c>
      <c r="C3300" s="90" t="s">
        <v>10</v>
      </c>
      <c r="D3300" s="90" t="str">
        <f>VLOOKUP(Tabela1[[#This Row],[Origem]],'Perguntas 1 a 24'!$J$28:$K$34,2,FALSE)</f>
        <v>Centro-Oeste</v>
      </c>
      <c r="E3300" s="90" t="s">
        <v>14635</v>
      </c>
      <c r="F3300" s="91">
        <v>47475</v>
      </c>
      <c r="G3300" s="92">
        <v>34298</v>
      </c>
      <c r="H3300" s="90" t="s">
        <v>9</v>
      </c>
      <c r="I33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0" s="90" t="s">
        <v>10354</v>
      </c>
    </row>
    <row r="3301" spans="1:11">
      <c r="A3301" s="90" t="s">
        <v>3954</v>
      </c>
      <c r="B3301" s="90" t="s">
        <v>3955</v>
      </c>
      <c r="C3301" s="90" t="s">
        <v>15</v>
      </c>
      <c r="D3301" s="90" t="str">
        <f>VLOOKUP(Tabela1[[#This Row],[Origem]],'Perguntas 1 a 24'!$J$28:$K$34,2,FALSE)</f>
        <v>Sudeste</v>
      </c>
      <c r="E3301" s="90" t="s">
        <v>14636</v>
      </c>
      <c r="F3301" s="91">
        <v>47476</v>
      </c>
      <c r="G3301" s="92">
        <v>39632</v>
      </c>
      <c r="H3301" s="90" t="s">
        <v>14</v>
      </c>
      <c r="I33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1" s="90" t="s">
        <v>11306</v>
      </c>
    </row>
    <row r="3302" spans="1:11">
      <c r="A3302" s="90" t="s">
        <v>11335</v>
      </c>
      <c r="B3302" s="90" t="s">
        <v>22</v>
      </c>
      <c r="C3302" s="90" t="s">
        <v>12</v>
      </c>
      <c r="D3302" s="90" t="str">
        <f>VLOOKUP(Tabela1[[#This Row],[Origem]],'Perguntas 1 a 24'!$J$28:$K$34,2,FALSE)</f>
        <v>Sudeste</v>
      </c>
      <c r="E3302" s="90" t="s">
        <v>14637</v>
      </c>
      <c r="F3302" s="91">
        <v>47476</v>
      </c>
      <c r="G3302" s="92">
        <v>34974</v>
      </c>
      <c r="H3302" s="90" t="s">
        <v>7</v>
      </c>
      <c r="I33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2" s="90" t="s">
        <v>4468</v>
      </c>
    </row>
    <row r="3303" spans="1:11">
      <c r="A3303" s="90" t="s">
        <v>5322</v>
      </c>
      <c r="B3303" s="90" t="s">
        <v>5323</v>
      </c>
      <c r="C3303" s="90" t="s">
        <v>16</v>
      </c>
      <c r="D3303" s="90" t="str">
        <f>VLOOKUP(Tabela1[[#This Row],[Origem]],'Perguntas 1 a 24'!$J$28:$K$34,2,FALSE)</f>
        <v>Sudeste</v>
      </c>
      <c r="E3303" s="90" t="s">
        <v>14638</v>
      </c>
      <c r="F3303" s="91">
        <v>47477</v>
      </c>
      <c r="G3303" s="92">
        <v>22183</v>
      </c>
      <c r="H3303" s="90" t="s">
        <v>14</v>
      </c>
      <c r="I33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3" s="90" t="s">
        <v>8275</v>
      </c>
    </row>
    <row r="3304" spans="1:11">
      <c r="A3304" s="90" t="s">
        <v>10353</v>
      </c>
      <c r="B3304" s="90" t="s">
        <v>10354</v>
      </c>
      <c r="C3304" s="90" t="s">
        <v>15</v>
      </c>
      <c r="D3304" s="90" t="str">
        <f>VLOOKUP(Tabela1[[#This Row],[Origem]],'Perguntas 1 a 24'!$J$28:$K$34,2,FALSE)</f>
        <v>Sudeste</v>
      </c>
      <c r="E3304" s="90" t="s">
        <v>14639</v>
      </c>
      <c r="F3304" s="91">
        <v>47477</v>
      </c>
      <c r="G3304" s="92">
        <v>106357</v>
      </c>
      <c r="H3304" s="90" t="s">
        <v>9</v>
      </c>
      <c r="I33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4" s="90" t="s">
        <v>9512</v>
      </c>
    </row>
    <row r="3305" spans="1:11">
      <c r="A3305" s="90" t="s">
        <v>11305</v>
      </c>
      <c r="B3305" s="90" t="s">
        <v>11306</v>
      </c>
      <c r="C3305" s="90" t="s">
        <v>15</v>
      </c>
      <c r="D3305" s="90" t="str">
        <f>VLOOKUP(Tabela1[[#This Row],[Origem]],'Perguntas 1 a 24'!$J$28:$K$34,2,FALSE)</f>
        <v>Sudeste</v>
      </c>
      <c r="E3305" s="90" t="s">
        <v>14640</v>
      </c>
      <c r="F3305" s="91">
        <v>47477</v>
      </c>
      <c r="G3305" s="92">
        <v>55280</v>
      </c>
      <c r="H3305" s="90" t="s">
        <v>9</v>
      </c>
      <c r="I33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5" s="90" t="s">
        <v>6291</v>
      </c>
    </row>
    <row r="3306" spans="1:11">
      <c r="A3306" s="90" t="s">
        <v>4467</v>
      </c>
      <c r="B3306" s="90" t="s">
        <v>4468</v>
      </c>
      <c r="C3306" s="90" t="s">
        <v>12</v>
      </c>
      <c r="D3306" s="90" t="str">
        <f>VLOOKUP(Tabela1[[#This Row],[Origem]],'Perguntas 1 a 24'!$J$28:$K$34,2,FALSE)</f>
        <v>Sudeste</v>
      </c>
      <c r="E3306" s="90" t="s">
        <v>14641</v>
      </c>
      <c r="F3306" s="91">
        <v>47481</v>
      </c>
      <c r="G3306" s="92">
        <v>94939</v>
      </c>
      <c r="H3306" s="90" t="s">
        <v>7</v>
      </c>
      <c r="I33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6" s="90" t="s">
        <v>10806</v>
      </c>
    </row>
    <row r="3307" spans="1:11">
      <c r="A3307" s="90" t="s">
        <v>8274</v>
      </c>
      <c r="B3307" s="90" t="s">
        <v>8275</v>
      </c>
      <c r="C3307" s="90" t="s">
        <v>6</v>
      </c>
      <c r="D3307" s="90" t="str">
        <f>VLOOKUP(Tabela1[[#This Row],[Origem]],'Perguntas 1 a 24'!$J$28:$K$34,2,FALSE)</f>
        <v>Nordeste</v>
      </c>
      <c r="E3307" s="90" t="s">
        <v>14642</v>
      </c>
      <c r="F3307" s="91">
        <v>47481</v>
      </c>
      <c r="G3307" s="92">
        <v>104797</v>
      </c>
      <c r="H3307" s="90" t="s">
        <v>7</v>
      </c>
      <c r="I33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7" s="90" t="s">
        <v>11262</v>
      </c>
    </row>
    <row r="3308" spans="1:11">
      <c r="A3308" s="90" t="s">
        <v>9511</v>
      </c>
      <c r="B3308" s="90" t="s">
        <v>9512</v>
      </c>
      <c r="C3308" s="90" t="s">
        <v>15</v>
      </c>
      <c r="D3308" s="90" t="str">
        <f>VLOOKUP(Tabela1[[#This Row],[Origem]],'Perguntas 1 a 24'!$J$28:$K$34,2,FALSE)</f>
        <v>Sudeste</v>
      </c>
      <c r="E3308" s="90" t="s">
        <v>14643</v>
      </c>
      <c r="F3308" s="91">
        <v>47481</v>
      </c>
      <c r="G3308" s="92">
        <v>55493</v>
      </c>
      <c r="H3308" s="90" t="s">
        <v>7</v>
      </c>
      <c r="I33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8" s="90" t="s">
        <v>10754</v>
      </c>
    </row>
    <row r="3309" spans="1:11">
      <c r="A3309" s="90" t="s">
        <v>6290</v>
      </c>
      <c r="B3309" s="90" t="s">
        <v>6291</v>
      </c>
      <c r="C3309" s="90" t="s">
        <v>8</v>
      </c>
      <c r="D3309" s="90" t="str">
        <f>VLOOKUP(Tabela1[[#This Row],[Origem]],'Perguntas 1 a 24'!$J$28:$K$34,2,FALSE)</f>
        <v>Nordeste</v>
      </c>
      <c r="E3309" s="90" t="s">
        <v>14644</v>
      </c>
      <c r="F3309" s="91">
        <v>47482</v>
      </c>
      <c r="G3309" s="92">
        <v>87536</v>
      </c>
      <c r="H3309" s="90" t="s">
        <v>11</v>
      </c>
      <c r="I33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09" s="90" t="s">
        <v>8692</v>
      </c>
    </row>
    <row r="3310" spans="1:11">
      <c r="A3310" s="90" t="s">
        <v>10805</v>
      </c>
      <c r="B3310" s="90" t="s">
        <v>10806</v>
      </c>
      <c r="C3310" s="90" t="s">
        <v>16</v>
      </c>
      <c r="D3310" s="90" t="str">
        <f>VLOOKUP(Tabela1[[#This Row],[Origem]],'Perguntas 1 a 24'!$J$28:$K$34,2,FALSE)</f>
        <v>Sudeste</v>
      </c>
      <c r="E3310" s="90" t="s">
        <v>14645</v>
      </c>
      <c r="F3310" s="91">
        <v>47482</v>
      </c>
      <c r="G3310" s="92">
        <v>114834</v>
      </c>
      <c r="H3310" s="90" t="s">
        <v>14</v>
      </c>
      <c r="I33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0" s="90" t="s">
        <v>4436</v>
      </c>
    </row>
    <row r="3311" spans="1:11">
      <c r="A3311" s="90" t="s">
        <v>11261</v>
      </c>
      <c r="B3311" s="90" t="s">
        <v>11262</v>
      </c>
      <c r="C3311" s="90" t="s">
        <v>12</v>
      </c>
      <c r="D3311" s="90" t="str">
        <f>VLOOKUP(Tabela1[[#This Row],[Origem]],'Perguntas 1 a 24'!$J$28:$K$34,2,FALSE)</f>
        <v>Sudeste</v>
      </c>
      <c r="E3311" s="90" t="s">
        <v>14646</v>
      </c>
      <c r="F3311" s="91">
        <v>47483</v>
      </c>
      <c r="G3311" s="92">
        <v>64996</v>
      </c>
      <c r="H3311" s="90" t="s">
        <v>7</v>
      </c>
      <c r="I33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1" s="90" t="s">
        <v>5897</v>
      </c>
    </row>
    <row r="3312" spans="1:11">
      <c r="A3312" s="90" t="s">
        <v>10753</v>
      </c>
      <c r="B3312" s="90" t="s">
        <v>10754</v>
      </c>
      <c r="C3312" s="90" t="s">
        <v>12</v>
      </c>
      <c r="D3312" s="90" t="str">
        <f>VLOOKUP(Tabela1[[#This Row],[Origem]],'Perguntas 1 a 24'!$J$28:$K$34,2,FALSE)</f>
        <v>Sudeste</v>
      </c>
      <c r="E3312" s="90" t="s">
        <v>14647</v>
      </c>
      <c r="F3312" s="91">
        <v>47485</v>
      </c>
      <c r="G3312" s="92">
        <v>65769</v>
      </c>
      <c r="H3312" s="90" t="s">
        <v>11</v>
      </c>
      <c r="I33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2" s="90" t="s">
        <v>10856</v>
      </c>
    </row>
    <row r="3313" spans="1:11">
      <c r="A3313" s="90" t="s">
        <v>8691</v>
      </c>
      <c r="B3313" s="90" t="s">
        <v>8692</v>
      </c>
      <c r="C3313" s="90" t="s">
        <v>6</v>
      </c>
      <c r="D3313" s="90" t="str">
        <f>VLOOKUP(Tabela1[[#This Row],[Origem]],'Perguntas 1 a 24'!$J$28:$K$34,2,FALSE)</f>
        <v>Nordeste</v>
      </c>
      <c r="E3313" s="90" t="s">
        <v>14648</v>
      </c>
      <c r="F3313" s="91">
        <v>47486</v>
      </c>
      <c r="G3313" s="92">
        <v>60962</v>
      </c>
      <c r="H3313" s="90" t="s">
        <v>14</v>
      </c>
      <c r="I33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3" s="90" t="s">
        <v>5349</v>
      </c>
    </row>
    <row r="3314" spans="1:11">
      <c r="A3314" s="90" t="s">
        <v>4435</v>
      </c>
      <c r="B3314" s="90" t="s">
        <v>4436</v>
      </c>
      <c r="C3314" s="90" t="s">
        <v>10</v>
      </c>
      <c r="D3314" s="90" t="str">
        <f>VLOOKUP(Tabela1[[#This Row],[Origem]],'Perguntas 1 a 24'!$J$28:$K$34,2,FALSE)</f>
        <v>Centro-Oeste</v>
      </c>
      <c r="E3314" s="90" t="s">
        <v>14649</v>
      </c>
      <c r="F3314" s="91">
        <v>47487</v>
      </c>
      <c r="G3314" s="92">
        <v>111502</v>
      </c>
      <c r="H3314" s="90" t="s">
        <v>7</v>
      </c>
      <c r="I33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4" s="90" t="s">
        <v>6889</v>
      </c>
    </row>
    <row r="3315" spans="1:11">
      <c r="A3315" s="90" t="s">
        <v>5896</v>
      </c>
      <c r="B3315" s="90" t="s">
        <v>5897</v>
      </c>
      <c r="C3315" s="90" t="s">
        <v>8</v>
      </c>
      <c r="D3315" s="90" t="str">
        <f>VLOOKUP(Tabela1[[#This Row],[Origem]],'Perguntas 1 a 24'!$J$28:$K$34,2,FALSE)</f>
        <v>Nordeste</v>
      </c>
      <c r="E3315" s="90" t="s">
        <v>14650</v>
      </c>
      <c r="F3315" s="91">
        <v>47487</v>
      </c>
      <c r="G3315" s="92">
        <v>29104</v>
      </c>
      <c r="H3315" s="90" t="s">
        <v>7</v>
      </c>
      <c r="I33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5" s="90" t="s">
        <v>9788</v>
      </c>
    </row>
    <row r="3316" spans="1:11">
      <c r="A3316" s="90" t="s">
        <v>10855</v>
      </c>
      <c r="B3316" s="90" t="s">
        <v>10856</v>
      </c>
      <c r="C3316" s="90" t="s">
        <v>13</v>
      </c>
      <c r="D3316" s="90" t="str">
        <f>VLOOKUP(Tabela1[[#This Row],[Origem]],'Perguntas 1 a 24'!$J$28:$K$34,2,FALSE)</f>
        <v>Sudeste</v>
      </c>
      <c r="E3316" s="90" t="s">
        <v>14651</v>
      </c>
      <c r="F3316" s="91">
        <v>47488</v>
      </c>
      <c r="G3316" s="92">
        <v>111312</v>
      </c>
      <c r="H3316" s="90" t="s">
        <v>14</v>
      </c>
      <c r="I33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6" s="90" t="s">
        <v>4196</v>
      </c>
    </row>
    <row r="3317" spans="1:11">
      <c r="A3317" s="90" t="s">
        <v>5348</v>
      </c>
      <c r="B3317" s="90" t="s">
        <v>5349</v>
      </c>
      <c r="C3317" s="90" t="s">
        <v>6</v>
      </c>
      <c r="D3317" s="90" t="str">
        <f>VLOOKUP(Tabela1[[#This Row],[Origem]],'Perguntas 1 a 24'!$J$28:$K$34,2,FALSE)</f>
        <v>Nordeste</v>
      </c>
      <c r="E3317" s="90" t="s">
        <v>14652</v>
      </c>
      <c r="F3317" s="91">
        <v>47489</v>
      </c>
      <c r="G3317" s="92">
        <v>27232</v>
      </c>
      <c r="H3317" s="90" t="s">
        <v>7</v>
      </c>
      <c r="I33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7" s="90" t="s">
        <v>6239</v>
      </c>
    </row>
    <row r="3318" spans="1:11">
      <c r="A3318" s="90" t="s">
        <v>6888</v>
      </c>
      <c r="B3318" s="90" t="s">
        <v>6889</v>
      </c>
      <c r="C3318" s="90" t="s">
        <v>13</v>
      </c>
      <c r="D3318" s="90" t="str">
        <f>VLOOKUP(Tabela1[[#This Row],[Origem]],'Perguntas 1 a 24'!$J$28:$K$34,2,FALSE)</f>
        <v>Sudeste</v>
      </c>
      <c r="E3318" s="90" t="s">
        <v>14653</v>
      </c>
      <c r="F3318" s="91">
        <v>47490</v>
      </c>
      <c r="G3318" s="92">
        <v>54749</v>
      </c>
      <c r="H3318" s="90" t="s">
        <v>9</v>
      </c>
      <c r="I33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8" s="90" t="s">
        <v>3793</v>
      </c>
    </row>
    <row r="3319" spans="1:11">
      <c r="A3319" s="90" t="s">
        <v>9787</v>
      </c>
      <c r="B3319" s="90" t="s">
        <v>9788</v>
      </c>
      <c r="C3319" s="90" t="s">
        <v>8</v>
      </c>
      <c r="D3319" s="90" t="str">
        <f>VLOOKUP(Tabela1[[#This Row],[Origem]],'Perguntas 1 a 24'!$J$28:$K$34,2,FALSE)</f>
        <v>Nordeste</v>
      </c>
      <c r="E3319" s="90" t="s">
        <v>14654</v>
      </c>
      <c r="F3319" s="91">
        <v>47491</v>
      </c>
      <c r="G3319" s="92">
        <v>77205</v>
      </c>
      <c r="H3319" s="90" t="s">
        <v>11</v>
      </c>
      <c r="I33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19" s="90" t="s">
        <v>5919</v>
      </c>
    </row>
    <row r="3320" spans="1:11">
      <c r="A3320" s="90" t="s">
        <v>4195</v>
      </c>
      <c r="B3320" s="90" t="s">
        <v>4196</v>
      </c>
      <c r="C3320" s="90" t="s">
        <v>6</v>
      </c>
      <c r="D3320" s="90" t="str">
        <f>VLOOKUP(Tabela1[[#This Row],[Origem]],'Perguntas 1 a 24'!$J$28:$K$34,2,FALSE)</f>
        <v>Nordeste</v>
      </c>
      <c r="E3320" s="90" t="s">
        <v>14655</v>
      </c>
      <c r="F3320" s="91">
        <v>47492</v>
      </c>
      <c r="G3320" s="92">
        <v>116283</v>
      </c>
      <c r="H3320" s="90" t="s">
        <v>14</v>
      </c>
      <c r="I33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0" s="90" t="s">
        <v>11045</v>
      </c>
    </row>
    <row r="3321" spans="1:11">
      <c r="A3321" s="90" t="s">
        <v>6238</v>
      </c>
      <c r="B3321" s="90" t="s">
        <v>6239</v>
      </c>
      <c r="C3321" s="90" t="s">
        <v>6</v>
      </c>
      <c r="D3321" s="90" t="str">
        <f>VLOOKUP(Tabela1[[#This Row],[Origem]],'Perguntas 1 a 24'!$J$28:$K$34,2,FALSE)</f>
        <v>Nordeste</v>
      </c>
      <c r="E3321" s="90" t="s">
        <v>14656</v>
      </c>
      <c r="F3321" s="91">
        <v>47493</v>
      </c>
      <c r="G3321" s="92">
        <v>26245</v>
      </c>
      <c r="H3321" s="90" t="s">
        <v>11</v>
      </c>
      <c r="I33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1" s="90" t="s">
        <v>8936</v>
      </c>
    </row>
    <row r="3322" spans="1:11">
      <c r="A3322" s="90" t="s">
        <v>3792</v>
      </c>
      <c r="B3322" s="90" t="s">
        <v>3793</v>
      </c>
      <c r="C3322" s="90" t="s">
        <v>10</v>
      </c>
      <c r="D3322" s="90" t="str">
        <f>VLOOKUP(Tabela1[[#This Row],[Origem]],'Perguntas 1 a 24'!$J$28:$K$34,2,FALSE)</f>
        <v>Centro-Oeste</v>
      </c>
      <c r="E3322" s="90" t="s">
        <v>14657</v>
      </c>
      <c r="F3322" s="91">
        <v>47494</v>
      </c>
      <c r="G3322" s="92">
        <v>67650</v>
      </c>
      <c r="H3322" s="90" t="s">
        <v>11</v>
      </c>
      <c r="I33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2" s="90" t="s">
        <v>9334</v>
      </c>
    </row>
    <row r="3323" spans="1:11">
      <c r="A3323" s="90" t="s">
        <v>5918</v>
      </c>
      <c r="B3323" s="90" t="s">
        <v>5919</v>
      </c>
      <c r="C3323" s="90" t="s">
        <v>8</v>
      </c>
      <c r="D3323" s="90" t="str">
        <f>VLOOKUP(Tabela1[[#This Row],[Origem]],'Perguntas 1 a 24'!$J$28:$K$34,2,FALSE)</f>
        <v>Nordeste</v>
      </c>
      <c r="E3323" s="90" t="s">
        <v>14658</v>
      </c>
      <c r="F3323" s="91">
        <v>47494</v>
      </c>
      <c r="G3323" s="92">
        <v>34256</v>
      </c>
      <c r="H3323" s="90" t="s">
        <v>11</v>
      </c>
      <c r="I33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3" s="90" t="s">
        <v>5657</v>
      </c>
    </row>
    <row r="3324" spans="1:11">
      <c r="A3324" s="90" t="s">
        <v>11044</v>
      </c>
      <c r="B3324" s="90" t="s">
        <v>11045</v>
      </c>
      <c r="C3324" s="90" t="s">
        <v>16</v>
      </c>
      <c r="D3324" s="90" t="str">
        <f>VLOOKUP(Tabela1[[#This Row],[Origem]],'Perguntas 1 a 24'!$J$28:$K$34,2,FALSE)</f>
        <v>Sudeste</v>
      </c>
      <c r="E3324" s="90" t="s">
        <v>14659</v>
      </c>
      <c r="F3324" s="91">
        <v>47495</v>
      </c>
      <c r="G3324" s="92">
        <v>20585</v>
      </c>
      <c r="H3324" s="90" t="s">
        <v>11</v>
      </c>
      <c r="I33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4" s="90" t="s">
        <v>5065</v>
      </c>
    </row>
    <row r="3325" spans="1:11">
      <c r="A3325" s="90" t="s">
        <v>8935</v>
      </c>
      <c r="B3325" s="90" t="s">
        <v>8936</v>
      </c>
      <c r="C3325" s="90" t="s">
        <v>10</v>
      </c>
      <c r="D3325" s="90" t="str">
        <f>VLOOKUP(Tabela1[[#This Row],[Origem]],'Perguntas 1 a 24'!$J$28:$K$34,2,FALSE)</f>
        <v>Centro-Oeste</v>
      </c>
      <c r="E3325" s="90" t="s">
        <v>14660</v>
      </c>
      <c r="F3325" s="91">
        <v>47496</v>
      </c>
      <c r="G3325" s="92">
        <v>47276</v>
      </c>
      <c r="H3325" s="90" t="s">
        <v>7</v>
      </c>
      <c r="I33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5" s="90" t="s">
        <v>4869</v>
      </c>
    </row>
    <row r="3326" spans="1:11">
      <c r="A3326" s="90" t="s">
        <v>9333</v>
      </c>
      <c r="B3326" s="90" t="s">
        <v>9334</v>
      </c>
      <c r="C3326" s="90" t="s">
        <v>6</v>
      </c>
      <c r="D3326" s="90" t="str">
        <f>VLOOKUP(Tabela1[[#This Row],[Origem]],'Perguntas 1 a 24'!$J$28:$K$34,2,FALSE)</f>
        <v>Nordeste</v>
      </c>
      <c r="E3326" s="90" t="s">
        <v>14661</v>
      </c>
      <c r="F3326" s="91">
        <v>47497</v>
      </c>
      <c r="G3326" s="92">
        <v>66088</v>
      </c>
      <c r="H3326" s="90" t="s">
        <v>11</v>
      </c>
      <c r="I33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6" s="90" t="s">
        <v>5217</v>
      </c>
    </row>
    <row r="3327" spans="1:11">
      <c r="A3327" s="90" t="s">
        <v>5656</v>
      </c>
      <c r="B3327" s="90" t="s">
        <v>5657</v>
      </c>
      <c r="C3327" s="90" t="s">
        <v>12</v>
      </c>
      <c r="D3327" s="90" t="str">
        <f>VLOOKUP(Tabela1[[#This Row],[Origem]],'Perguntas 1 a 24'!$J$28:$K$34,2,FALSE)</f>
        <v>Sudeste</v>
      </c>
      <c r="E3327" s="90" t="s">
        <v>14662</v>
      </c>
      <c r="F3327" s="91">
        <v>47498</v>
      </c>
      <c r="G3327" s="92">
        <v>114311</v>
      </c>
      <c r="H3327" s="90" t="s">
        <v>14</v>
      </c>
      <c r="I33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7" s="90" t="s">
        <v>9286</v>
      </c>
    </row>
    <row r="3328" spans="1:11">
      <c r="A3328" s="90" t="s">
        <v>5064</v>
      </c>
      <c r="B3328" s="90" t="s">
        <v>5065</v>
      </c>
      <c r="C3328" s="90" t="s">
        <v>10</v>
      </c>
      <c r="D3328" s="90" t="str">
        <f>VLOOKUP(Tabela1[[#This Row],[Origem]],'Perguntas 1 a 24'!$J$28:$K$34,2,FALSE)</f>
        <v>Centro-Oeste</v>
      </c>
      <c r="E3328" s="90" t="s">
        <v>14663</v>
      </c>
      <c r="F3328" s="91">
        <v>47499</v>
      </c>
      <c r="G3328" s="92">
        <v>71486</v>
      </c>
      <c r="H3328" s="90" t="s">
        <v>14</v>
      </c>
      <c r="I33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8" s="90" t="s">
        <v>11031</v>
      </c>
    </row>
    <row r="3329" spans="1:11">
      <c r="A3329" s="90" t="s">
        <v>4868</v>
      </c>
      <c r="B3329" s="90" t="s">
        <v>4869</v>
      </c>
      <c r="C3329" s="90" t="s">
        <v>13</v>
      </c>
      <c r="D3329" s="90" t="str">
        <f>VLOOKUP(Tabela1[[#This Row],[Origem]],'Perguntas 1 a 24'!$J$28:$K$34,2,FALSE)</f>
        <v>Sudeste</v>
      </c>
      <c r="E3329" s="90" t="s">
        <v>14664</v>
      </c>
      <c r="F3329" s="91">
        <v>47500</v>
      </c>
      <c r="G3329" s="92">
        <v>100547</v>
      </c>
      <c r="H3329" s="90" t="s">
        <v>11</v>
      </c>
      <c r="I33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29" s="90" t="s">
        <v>4260</v>
      </c>
    </row>
    <row r="3330" spans="1:11">
      <c r="A3330" s="90" t="s">
        <v>5216</v>
      </c>
      <c r="B3330" s="90" t="s">
        <v>5217</v>
      </c>
      <c r="C3330" s="90" t="s">
        <v>13</v>
      </c>
      <c r="D3330" s="90" t="str">
        <f>VLOOKUP(Tabela1[[#This Row],[Origem]],'Perguntas 1 a 24'!$J$28:$K$34,2,FALSE)</f>
        <v>Sudeste</v>
      </c>
      <c r="E3330" s="90" t="s">
        <v>14665</v>
      </c>
      <c r="F3330" s="91">
        <v>47500</v>
      </c>
      <c r="G3330" s="92">
        <v>89502</v>
      </c>
      <c r="H3330" s="90" t="s">
        <v>14</v>
      </c>
      <c r="I33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0" s="90" t="s">
        <v>6403</v>
      </c>
    </row>
    <row r="3331" spans="1:11">
      <c r="A3331" s="90" t="s">
        <v>9285</v>
      </c>
      <c r="B3331" s="90" t="s">
        <v>9286</v>
      </c>
      <c r="C3331" s="90" t="s">
        <v>15</v>
      </c>
      <c r="D3331" s="90" t="str">
        <f>VLOOKUP(Tabela1[[#This Row],[Origem]],'Perguntas 1 a 24'!$J$28:$K$34,2,FALSE)</f>
        <v>Sudeste</v>
      </c>
      <c r="E3331" s="90" t="s">
        <v>14666</v>
      </c>
      <c r="F3331" s="91">
        <v>47500</v>
      </c>
      <c r="G3331" s="92">
        <v>43157</v>
      </c>
      <c r="H3331" s="90" t="s">
        <v>14</v>
      </c>
      <c r="I33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1" s="90" t="s">
        <v>8101</v>
      </c>
    </row>
    <row r="3332" spans="1:11">
      <c r="A3332" s="90" t="s">
        <v>11030</v>
      </c>
      <c r="B3332" s="90" t="s">
        <v>11031</v>
      </c>
      <c r="C3332" s="90" t="s">
        <v>10</v>
      </c>
      <c r="D3332" s="90" t="str">
        <f>VLOOKUP(Tabela1[[#This Row],[Origem]],'Perguntas 1 a 24'!$J$28:$K$34,2,FALSE)</f>
        <v>Centro-Oeste</v>
      </c>
      <c r="E3332" s="90" t="s">
        <v>14667</v>
      </c>
      <c r="F3332" s="91">
        <v>47500</v>
      </c>
      <c r="G3332" s="92">
        <v>75219</v>
      </c>
      <c r="H3332" s="90" t="s">
        <v>11</v>
      </c>
      <c r="I33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2" s="90" t="s">
        <v>4109</v>
      </c>
    </row>
    <row r="3333" spans="1:11">
      <c r="A3333" s="90" t="s">
        <v>4259</v>
      </c>
      <c r="B3333" s="90" t="s">
        <v>4260</v>
      </c>
      <c r="C3333" s="90" t="s">
        <v>13</v>
      </c>
      <c r="D3333" s="90" t="str">
        <f>VLOOKUP(Tabela1[[#This Row],[Origem]],'Perguntas 1 a 24'!$J$28:$K$34,2,FALSE)</f>
        <v>Sudeste</v>
      </c>
      <c r="E3333" s="90" t="s">
        <v>14668</v>
      </c>
      <c r="F3333" s="91">
        <v>47501</v>
      </c>
      <c r="G3333" s="92">
        <v>75711</v>
      </c>
      <c r="H3333" s="90" t="s">
        <v>11</v>
      </c>
      <c r="I33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3" s="90" t="s">
        <v>6767</v>
      </c>
    </row>
    <row r="3334" spans="1:11">
      <c r="A3334" s="90" t="s">
        <v>6402</v>
      </c>
      <c r="B3334" s="90" t="s">
        <v>6403</v>
      </c>
      <c r="C3334" s="90" t="s">
        <v>12</v>
      </c>
      <c r="D3334" s="90" t="str">
        <f>VLOOKUP(Tabela1[[#This Row],[Origem]],'Perguntas 1 a 24'!$J$28:$K$34,2,FALSE)</f>
        <v>Sudeste</v>
      </c>
      <c r="E3334" s="90" t="s">
        <v>14669</v>
      </c>
      <c r="F3334" s="91">
        <v>47501</v>
      </c>
      <c r="G3334" s="92">
        <v>32928</v>
      </c>
      <c r="H3334" s="90" t="s">
        <v>14</v>
      </c>
      <c r="I33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4" s="90" t="s">
        <v>7725</v>
      </c>
    </row>
    <row r="3335" spans="1:11">
      <c r="A3335" s="90" t="s">
        <v>8100</v>
      </c>
      <c r="B3335" s="90" t="s">
        <v>8101</v>
      </c>
      <c r="C3335" s="90" t="s">
        <v>10</v>
      </c>
      <c r="D3335" s="90" t="str">
        <f>VLOOKUP(Tabela1[[#This Row],[Origem]],'Perguntas 1 a 24'!$J$28:$K$34,2,FALSE)</f>
        <v>Centro-Oeste</v>
      </c>
      <c r="E3335" s="90" t="s">
        <v>14670</v>
      </c>
      <c r="F3335" s="91">
        <v>47501</v>
      </c>
      <c r="G3335" s="92">
        <v>70395</v>
      </c>
      <c r="H3335" s="90" t="s">
        <v>7</v>
      </c>
      <c r="I33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5" s="90" t="s">
        <v>8039</v>
      </c>
    </row>
    <row r="3336" spans="1:11">
      <c r="A3336" s="90" t="s">
        <v>4108</v>
      </c>
      <c r="B3336" s="90" t="s">
        <v>4109</v>
      </c>
      <c r="C3336" s="90" t="s">
        <v>6</v>
      </c>
      <c r="D3336" s="90" t="str">
        <f>VLOOKUP(Tabela1[[#This Row],[Origem]],'Perguntas 1 a 24'!$J$28:$K$34,2,FALSE)</f>
        <v>Nordeste</v>
      </c>
      <c r="E3336" s="90" t="s">
        <v>14671</v>
      </c>
      <c r="F3336" s="91">
        <v>47502</v>
      </c>
      <c r="G3336" s="92">
        <v>21655</v>
      </c>
      <c r="H3336" s="90" t="s">
        <v>9</v>
      </c>
      <c r="I33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6" s="90" t="s">
        <v>9136</v>
      </c>
    </row>
    <row r="3337" spans="1:11">
      <c r="A3337" s="90" t="s">
        <v>6766</v>
      </c>
      <c r="B3337" s="90" t="s">
        <v>6767</v>
      </c>
      <c r="C3337" s="90" t="s">
        <v>13</v>
      </c>
      <c r="D3337" s="90" t="str">
        <f>VLOOKUP(Tabela1[[#This Row],[Origem]],'Perguntas 1 a 24'!$J$28:$K$34,2,FALSE)</f>
        <v>Sudeste</v>
      </c>
      <c r="E3337" s="90" t="s">
        <v>14672</v>
      </c>
      <c r="F3337" s="91">
        <v>47502</v>
      </c>
      <c r="G3337" s="92">
        <v>93711</v>
      </c>
      <c r="H3337" s="90" t="s">
        <v>14</v>
      </c>
      <c r="I33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7" s="90" t="s">
        <v>9250</v>
      </c>
    </row>
    <row r="3338" spans="1:11">
      <c r="A3338" s="90" t="s">
        <v>7724</v>
      </c>
      <c r="B3338" s="90" t="s">
        <v>7725</v>
      </c>
      <c r="C3338" s="90" t="s">
        <v>15</v>
      </c>
      <c r="D3338" s="90" t="str">
        <f>VLOOKUP(Tabela1[[#This Row],[Origem]],'Perguntas 1 a 24'!$J$28:$K$34,2,FALSE)</f>
        <v>Sudeste</v>
      </c>
      <c r="E3338" s="90" t="s">
        <v>14673</v>
      </c>
      <c r="F3338" s="91">
        <v>47502</v>
      </c>
      <c r="G3338" s="92">
        <v>97169</v>
      </c>
      <c r="H3338" s="90" t="s">
        <v>9</v>
      </c>
      <c r="I33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8" s="90" t="s">
        <v>3795</v>
      </c>
    </row>
    <row r="3339" spans="1:11">
      <c r="A3339" s="90" t="s">
        <v>8038</v>
      </c>
      <c r="B3339" s="90" t="s">
        <v>8039</v>
      </c>
      <c r="C3339" s="90" t="s">
        <v>13</v>
      </c>
      <c r="D3339" s="90" t="str">
        <f>VLOOKUP(Tabela1[[#This Row],[Origem]],'Perguntas 1 a 24'!$J$28:$K$34,2,FALSE)</f>
        <v>Sudeste</v>
      </c>
      <c r="E3339" s="90" t="s">
        <v>14674</v>
      </c>
      <c r="F3339" s="91">
        <v>47502</v>
      </c>
      <c r="G3339" s="92">
        <v>112947</v>
      </c>
      <c r="H3339" s="90" t="s">
        <v>9</v>
      </c>
      <c r="I33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39" s="90" t="s">
        <v>10872</v>
      </c>
    </row>
    <row r="3340" spans="1:11">
      <c r="A3340" s="90" t="s">
        <v>9135</v>
      </c>
      <c r="B3340" s="90" t="s">
        <v>9136</v>
      </c>
      <c r="C3340" s="90" t="s">
        <v>13</v>
      </c>
      <c r="D3340" s="90" t="str">
        <f>VLOOKUP(Tabela1[[#This Row],[Origem]],'Perguntas 1 a 24'!$J$28:$K$34,2,FALSE)</f>
        <v>Sudeste</v>
      </c>
      <c r="E3340" s="90" t="s">
        <v>14675</v>
      </c>
      <c r="F3340" s="91">
        <v>47502</v>
      </c>
      <c r="G3340" s="92">
        <v>35854</v>
      </c>
      <c r="H3340" s="90" t="s">
        <v>7</v>
      </c>
      <c r="I33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0" s="90" t="s">
        <v>5977</v>
      </c>
    </row>
    <row r="3341" spans="1:11">
      <c r="A3341" s="90" t="s">
        <v>9249</v>
      </c>
      <c r="B3341" s="90" t="s">
        <v>9250</v>
      </c>
      <c r="C3341" s="90" t="s">
        <v>15</v>
      </c>
      <c r="D3341" s="90" t="str">
        <f>VLOOKUP(Tabela1[[#This Row],[Origem]],'Perguntas 1 a 24'!$J$28:$K$34,2,FALSE)</f>
        <v>Sudeste</v>
      </c>
      <c r="E3341" s="90" t="s">
        <v>14676</v>
      </c>
      <c r="F3341" s="91">
        <v>47503</v>
      </c>
      <c r="G3341" s="92">
        <v>70732</v>
      </c>
      <c r="H3341" s="90" t="s">
        <v>9</v>
      </c>
      <c r="I33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1" s="90" t="s">
        <v>10612</v>
      </c>
    </row>
    <row r="3342" spans="1:11">
      <c r="A3342" s="90" t="s">
        <v>3794</v>
      </c>
      <c r="B3342" s="90" t="s">
        <v>3795</v>
      </c>
      <c r="C3342" s="90" t="s">
        <v>15</v>
      </c>
      <c r="D3342" s="90" t="str">
        <f>VLOOKUP(Tabela1[[#This Row],[Origem]],'Perguntas 1 a 24'!$J$28:$K$34,2,FALSE)</f>
        <v>Sudeste</v>
      </c>
      <c r="E3342" s="90" t="s">
        <v>14677</v>
      </c>
      <c r="F3342" s="91">
        <v>47504</v>
      </c>
      <c r="G3342" s="92">
        <v>103021</v>
      </c>
      <c r="H3342" s="90" t="s">
        <v>14</v>
      </c>
      <c r="I33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2" s="90" t="s">
        <v>4173</v>
      </c>
    </row>
    <row r="3343" spans="1:11">
      <c r="A3343" s="90" t="s">
        <v>10871</v>
      </c>
      <c r="B3343" s="90" t="s">
        <v>10872</v>
      </c>
      <c r="C3343" s="90" t="s">
        <v>16</v>
      </c>
      <c r="D3343" s="90" t="str">
        <f>VLOOKUP(Tabela1[[#This Row],[Origem]],'Perguntas 1 a 24'!$J$28:$K$34,2,FALSE)</f>
        <v>Sudeste</v>
      </c>
      <c r="E3343" s="90" t="s">
        <v>14678</v>
      </c>
      <c r="F3343" s="91">
        <v>47504</v>
      </c>
      <c r="G3343" s="92">
        <v>101909</v>
      </c>
      <c r="H3343" s="90" t="s">
        <v>7</v>
      </c>
      <c r="I33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3" s="90" t="s">
        <v>5247</v>
      </c>
    </row>
    <row r="3344" spans="1:11">
      <c r="A3344" s="90" t="s">
        <v>5976</v>
      </c>
      <c r="B3344" s="90" t="s">
        <v>5977</v>
      </c>
      <c r="C3344" s="90" t="s">
        <v>6</v>
      </c>
      <c r="D3344" s="90" t="str">
        <f>VLOOKUP(Tabela1[[#This Row],[Origem]],'Perguntas 1 a 24'!$J$28:$K$34,2,FALSE)</f>
        <v>Nordeste</v>
      </c>
      <c r="E3344" s="90" t="s">
        <v>14679</v>
      </c>
      <c r="F3344" s="91">
        <v>47505</v>
      </c>
      <c r="G3344" s="92">
        <v>89807</v>
      </c>
      <c r="H3344" s="90" t="s">
        <v>11</v>
      </c>
      <c r="I33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4" s="90" t="s">
        <v>6063</v>
      </c>
    </row>
    <row r="3345" spans="1:11">
      <c r="A3345" s="90" t="s">
        <v>10611</v>
      </c>
      <c r="B3345" s="90" t="s">
        <v>10612</v>
      </c>
      <c r="C3345" s="90" t="s">
        <v>16</v>
      </c>
      <c r="D3345" s="90" t="str">
        <f>VLOOKUP(Tabela1[[#This Row],[Origem]],'Perguntas 1 a 24'!$J$28:$K$34,2,FALSE)</f>
        <v>Sudeste</v>
      </c>
      <c r="E3345" s="90" t="s">
        <v>14680</v>
      </c>
      <c r="F3345" s="91">
        <v>47505</v>
      </c>
      <c r="G3345" s="92">
        <v>54566</v>
      </c>
      <c r="H3345" s="90" t="s">
        <v>11</v>
      </c>
      <c r="I33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5" s="90" t="s">
        <v>7307</v>
      </c>
    </row>
    <row r="3346" spans="1:11">
      <c r="A3346" s="90" t="s">
        <v>4172</v>
      </c>
      <c r="B3346" s="90" t="s">
        <v>4173</v>
      </c>
      <c r="C3346" s="90" t="s">
        <v>8</v>
      </c>
      <c r="D3346" s="90" t="str">
        <f>VLOOKUP(Tabela1[[#This Row],[Origem]],'Perguntas 1 a 24'!$J$28:$K$34,2,FALSE)</f>
        <v>Nordeste</v>
      </c>
      <c r="E3346" s="90" t="s">
        <v>14681</v>
      </c>
      <c r="F3346" s="91">
        <v>47507</v>
      </c>
      <c r="G3346" s="92">
        <v>81853</v>
      </c>
      <c r="H3346" s="90" t="s">
        <v>14</v>
      </c>
      <c r="I33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6" s="90" t="s">
        <v>8702</v>
      </c>
    </row>
    <row r="3347" spans="1:11">
      <c r="A3347" s="90" t="s">
        <v>5246</v>
      </c>
      <c r="B3347" s="90" t="s">
        <v>5247</v>
      </c>
      <c r="C3347" s="90" t="s">
        <v>16</v>
      </c>
      <c r="D3347" s="90" t="str">
        <f>VLOOKUP(Tabela1[[#This Row],[Origem]],'Perguntas 1 a 24'!$J$28:$K$34,2,FALSE)</f>
        <v>Sudeste</v>
      </c>
      <c r="E3347" s="90" t="s">
        <v>14682</v>
      </c>
      <c r="F3347" s="91">
        <v>47507</v>
      </c>
      <c r="G3347" s="92">
        <v>93226</v>
      </c>
      <c r="H3347" s="90" t="s">
        <v>9</v>
      </c>
      <c r="I33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7" s="90" t="s">
        <v>5233</v>
      </c>
    </row>
    <row r="3348" spans="1:11">
      <c r="A3348" s="90" t="s">
        <v>6062</v>
      </c>
      <c r="B3348" s="90" t="s">
        <v>6063</v>
      </c>
      <c r="C3348" s="90" t="s">
        <v>15</v>
      </c>
      <c r="D3348" s="90" t="str">
        <f>VLOOKUP(Tabela1[[#This Row],[Origem]],'Perguntas 1 a 24'!$J$28:$K$34,2,FALSE)</f>
        <v>Sudeste</v>
      </c>
      <c r="E3348" s="90" t="s">
        <v>14683</v>
      </c>
      <c r="F3348" s="91">
        <v>47507</v>
      </c>
      <c r="G3348" s="92">
        <v>119120</v>
      </c>
      <c r="H3348" s="90" t="s">
        <v>11</v>
      </c>
      <c r="I33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8" s="90" t="s">
        <v>7237</v>
      </c>
    </row>
    <row r="3349" spans="1:11">
      <c r="A3349" s="90" t="s">
        <v>7306</v>
      </c>
      <c r="B3349" s="90" t="s">
        <v>7307</v>
      </c>
      <c r="C3349" s="90" t="s">
        <v>12</v>
      </c>
      <c r="D3349" s="90" t="str">
        <f>VLOOKUP(Tabela1[[#This Row],[Origem]],'Perguntas 1 a 24'!$J$28:$K$34,2,FALSE)</f>
        <v>Sudeste</v>
      </c>
      <c r="E3349" s="90" t="s">
        <v>14684</v>
      </c>
      <c r="F3349" s="91">
        <v>47507</v>
      </c>
      <c r="G3349" s="92">
        <v>82054</v>
      </c>
      <c r="H3349" s="90" t="s">
        <v>14</v>
      </c>
      <c r="I33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49" s="90" t="s">
        <v>10256</v>
      </c>
    </row>
    <row r="3350" spans="1:11">
      <c r="A3350" s="90" t="s">
        <v>8701</v>
      </c>
      <c r="B3350" s="90" t="s">
        <v>8702</v>
      </c>
      <c r="C3350" s="90" t="s">
        <v>12</v>
      </c>
      <c r="D3350" s="90" t="str">
        <f>VLOOKUP(Tabela1[[#This Row],[Origem]],'Perguntas 1 a 24'!$J$28:$K$34,2,FALSE)</f>
        <v>Sudeste</v>
      </c>
      <c r="E3350" s="90" t="s">
        <v>14685</v>
      </c>
      <c r="F3350" s="91">
        <v>47507</v>
      </c>
      <c r="G3350" s="92">
        <v>102621</v>
      </c>
      <c r="H3350" s="90" t="s">
        <v>14</v>
      </c>
      <c r="I33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0" s="90" t="s">
        <v>4216</v>
      </c>
    </row>
    <row r="3351" spans="1:11">
      <c r="A3351" s="90" t="s">
        <v>5232</v>
      </c>
      <c r="B3351" s="90" t="s">
        <v>5233</v>
      </c>
      <c r="C3351" s="90" t="s">
        <v>12</v>
      </c>
      <c r="D3351" s="90" t="str">
        <f>VLOOKUP(Tabela1[[#This Row],[Origem]],'Perguntas 1 a 24'!$J$28:$K$34,2,FALSE)</f>
        <v>Sudeste</v>
      </c>
      <c r="E3351" s="90" t="s">
        <v>14686</v>
      </c>
      <c r="F3351" s="91">
        <v>47508</v>
      </c>
      <c r="G3351" s="92">
        <v>119698</v>
      </c>
      <c r="H3351" s="90" t="s">
        <v>9</v>
      </c>
      <c r="I33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1" s="90" t="s">
        <v>5753</v>
      </c>
    </row>
    <row r="3352" spans="1:11">
      <c r="A3352" s="90" t="s">
        <v>7236</v>
      </c>
      <c r="B3352" s="90" t="s">
        <v>7237</v>
      </c>
      <c r="C3352" s="90" t="s">
        <v>8</v>
      </c>
      <c r="D3352" s="90" t="str">
        <f>VLOOKUP(Tabela1[[#This Row],[Origem]],'Perguntas 1 a 24'!$J$28:$K$34,2,FALSE)</f>
        <v>Nordeste</v>
      </c>
      <c r="E3352" s="90" t="s">
        <v>14687</v>
      </c>
      <c r="F3352" s="91">
        <v>47508</v>
      </c>
      <c r="G3352" s="92">
        <v>61688</v>
      </c>
      <c r="H3352" s="90" t="s">
        <v>7</v>
      </c>
      <c r="I33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2" s="90" t="s">
        <v>5671</v>
      </c>
    </row>
    <row r="3353" spans="1:11">
      <c r="A3353" s="90" t="s">
        <v>10255</v>
      </c>
      <c r="B3353" s="90" t="s">
        <v>10256</v>
      </c>
      <c r="C3353" s="90" t="s">
        <v>8</v>
      </c>
      <c r="D3353" s="90" t="str">
        <f>VLOOKUP(Tabela1[[#This Row],[Origem]],'Perguntas 1 a 24'!$J$28:$K$34,2,FALSE)</f>
        <v>Nordeste</v>
      </c>
      <c r="E3353" s="90" t="s">
        <v>14688</v>
      </c>
      <c r="F3353" s="91">
        <v>47508</v>
      </c>
      <c r="G3353" s="92">
        <v>114819</v>
      </c>
      <c r="H3353" s="90" t="s">
        <v>9</v>
      </c>
      <c r="I33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3" s="90" t="s">
        <v>8069</v>
      </c>
    </row>
    <row r="3354" spans="1:11">
      <c r="A3354" s="90" t="s">
        <v>4215</v>
      </c>
      <c r="B3354" s="90" t="s">
        <v>4216</v>
      </c>
      <c r="C3354" s="90" t="s">
        <v>8</v>
      </c>
      <c r="D3354" s="90" t="str">
        <f>VLOOKUP(Tabela1[[#This Row],[Origem]],'Perguntas 1 a 24'!$J$28:$K$34,2,FALSE)</f>
        <v>Nordeste</v>
      </c>
      <c r="E3354" s="90" t="s">
        <v>14689</v>
      </c>
      <c r="F3354" s="91">
        <v>47509</v>
      </c>
      <c r="G3354" s="92">
        <v>37347</v>
      </c>
      <c r="H3354" s="90" t="s">
        <v>9</v>
      </c>
      <c r="I33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4" s="90" t="s">
        <v>8515</v>
      </c>
    </row>
    <row r="3355" spans="1:11">
      <c r="A3355" s="90" t="s">
        <v>5752</v>
      </c>
      <c r="B3355" s="90" t="s">
        <v>5753</v>
      </c>
      <c r="C3355" s="90" t="s">
        <v>16</v>
      </c>
      <c r="D3355" s="90" t="str">
        <f>VLOOKUP(Tabela1[[#This Row],[Origem]],'Perguntas 1 a 24'!$J$28:$K$34,2,FALSE)</f>
        <v>Sudeste</v>
      </c>
      <c r="E3355" s="90" t="s">
        <v>14690</v>
      </c>
      <c r="F3355" s="91">
        <v>47509</v>
      </c>
      <c r="G3355" s="92">
        <v>60695</v>
      </c>
      <c r="H3355" s="90" t="s">
        <v>14</v>
      </c>
      <c r="I33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5" s="90" t="s">
        <v>3971</v>
      </c>
    </row>
    <row r="3356" spans="1:11">
      <c r="A3356" s="90" t="s">
        <v>5670</v>
      </c>
      <c r="B3356" s="90" t="s">
        <v>5671</v>
      </c>
      <c r="C3356" s="90" t="s">
        <v>8</v>
      </c>
      <c r="D3356" s="90" t="str">
        <f>VLOOKUP(Tabela1[[#This Row],[Origem]],'Perguntas 1 a 24'!$J$28:$K$34,2,FALSE)</f>
        <v>Nordeste</v>
      </c>
      <c r="E3356" s="90" t="s">
        <v>14691</v>
      </c>
      <c r="F3356" s="91">
        <v>47510</v>
      </c>
      <c r="G3356" s="92">
        <v>116127</v>
      </c>
      <c r="H3356" s="90" t="s">
        <v>11</v>
      </c>
      <c r="I33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6" s="90" t="s">
        <v>5803</v>
      </c>
    </row>
    <row r="3357" spans="1:11">
      <c r="A3357" s="90" t="s">
        <v>8068</v>
      </c>
      <c r="B3357" s="90" t="s">
        <v>8069</v>
      </c>
      <c r="C3357" s="90" t="s">
        <v>8</v>
      </c>
      <c r="D3357" s="90" t="str">
        <f>VLOOKUP(Tabela1[[#This Row],[Origem]],'Perguntas 1 a 24'!$J$28:$K$34,2,FALSE)</f>
        <v>Nordeste</v>
      </c>
      <c r="E3357" s="90" t="s">
        <v>14692</v>
      </c>
      <c r="F3357" s="91">
        <v>47510</v>
      </c>
      <c r="G3357" s="92">
        <v>82964</v>
      </c>
      <c r="H3357" s="90" t="s">
        <v>9</v>
      </c>
      <c r="I33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7" s="90" t="s">
        <v>3901</v>
      </c>
    </row>
    <row r="3358" spans="1:11">
      <c r="A3358" s="90" t="s">
        <v>8514</v>
      </c>
      <c r="B3358" s="90" t="s">
        <v>8515</v>
      </c>
      <c r="C3358" s="90" t="s">
        <v>13</v>
      </c>
      <c r="D3358" s="90" t="str">
        <f>VLOOKUP(Tabela1[[#This Row],[Origem]],'Perguntas 1 a 24'!$J$28:$K$34,2,FALSE)</f>
        <v>Sudeste</v>
      </c>
      <c r="E3358" s="90" t="s">
        <v>14693</v>
      </c>
      <c r="F3358" s="91">
        <v>47510</v>
      </c>
      <c r="G3358" s="92">
        <v>38967</v>
      </c>
      <c r="H3358" s="90" t="s">
        <v>9</v>
      </c>
      <c r="I33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8" s="90" t="s">
        <v>3761</v>
      </c>
    </row>
    <row r="3359" spans="1:11">
      <c r="A3359" s="90" t="s">
        <v>3970</v>
      </c>
      <c r="B3359" s="90" t="s">
        <v>3971</v>
      </c>
      <c r="C3359" s="90" t="s">
        <v>10</v>
      </c>
      <c r="D3359" s="90" t="str">
        <f>VLOOKUP(Tabela1[[#This Row],[Origem]],'Perguntas 1 a 24'!$J$28:$K$34,2,FALSE)</f>
        <v>Centro-Oeste</v>
      </c>
      <c r="E3359" s="90" t="s">
        <v>14694</v>
      </c>
      <c r="F3359" s="91">
        <v>47511</v>
      </c>
      <c r="G3359" s="92">
        <v>36593</v>
      </c>
      <c r="H3359" s="90" t="s">
        <v>14</v>
      </c>
      <c r="I33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59" s="90" t="s">
        <v>8570</v>
      </c>
    </row>
    <row r="3360" spans="1:11">
      <c r="A3360" s="90" t="s">
        <v>5802</v>
      </c>
      <c r="B3360" s="90" t="s">
        <v>5803</v>
      </c>
      <c r="C3360" s="90" t="s">
        <v>10</v>
      </c>
      <c r="D3360" s="90" t="str">
        <f>VLOOKUP(Tabela1[[#This Row],[Origem]],'Perguntas 1 a 24'!$J$28:$K$34,2,FALSE)</f>
        <v>Centro-Oeste</v>
      </c>
      <c r="E3360" s="90" t="s">
        <v>14695</v>
      </c>
      <c r="F3360" s="91">
        <v>47511</v>
      </c>
      <c r="G3360" s="92">
        <v>112425</v>
      </c>
      <c r="H3360" s="90" t="s">
        <v>11</v>
      </c>
      <c r="I33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0" s="90" t="s">
        <v>8742</v>
      </c>
    </row>
    <row r="3361" spans="1:11">
      <c r="A3361" s="90" t="s">
        <v>3900</v>
      </c>
      <c r="B3361" s="90" t="s">
        <v>3901</v>
      </c>
      <c r="C3361" s="90" t="s">
        <v>13</v>
      </c>
      <c r="D3361" s="90" t="str">
        <f>VLOOKUP(Tabela1[[#This Row],[Origem]],'Perguntas 1 a 24'!$J$28:$K$34,2,FALSE)</f>
        <v>Sudeste</v>
      </c>
      <c r="E3361" s="90" t="s">
        <v>14696</v>
      </c>
      <c r="F3361" s="91">
        <v>47512</v>
      </c>
      <c r="G3361" s="92">
        <v>88359</v>
      </c>
      <c r="H3361" s="90" t="s">
        <v>7</v>
      </c>
      <c r="I33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1" s="90" t="s">
        <v>5367</v>
      </c>
    </row>
    <row r="3362" spans="1:11">
      <c r="A3362" s="90" t="s">
        <v>3760</v>
      </c>
      <c r="B3362" s="90" t="s">
        <v>3761</v>
      </c>
      <c r="C3362" s="90" t="s">
        <v>8</v>
      </c>
      <c r="D3362" s="90" t="str">
        <f>VLOOKUP(Tabela1[[#This Row],[Origem]],'Perguntas 1 a 24'!$J$28:$K$34,2,FALSE)</f>
        <v>Nordeste</v>
      </c>
      <c r="E3362" s="90" t="s">
        <v>14697</v>
      </c>
      <c r="F3362" s="91">
        <v>47513</v>
      </c>
      <c r="G3362" s="92">
        <v>75897</v>
      </c>
      <c r="H3362" s="90" t="s">
        <v>11</v>
      </c>
      <c r="I33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2" s="90" t="s">
        <v>7551</v>
      </c>
    </row>
    <row r="3363" spans="1:11">
      <c r="A3363" s="90" t="s">
        <v>3760</v>
      </c>
      <c r="B3363" s="90" t="s">
        <v>3761</v>
      </c>
      <c r="C3363" s="90" t="s">
        <v>8</v>
      </c>
      <c r="D3363" s="90" t="str">
        <f>VLOOKUP(Tabela1[[#This Row],[Origem]],'Perguntas 1 a 24'!$J$28:$K$34,2,FALSE)</f>
        <v>Nordeste</v>
      </c>
      <c r="E3363" s="90" t="s">
        <v>14697</v>
      </c>
      <c r="F3363" s="91">
        <v>47513</v>
      </c>
      <c r="G3363" s="92">
        <v>75897</v>
      </c>
      <c r="H3363" s="90" t="s">
        <v>11</v>
      </c>
      <c r="I33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3" s="90" t="s">
        <v>4711</v>
      </c>
    </row>
    <row r="3364" spans="1:11">
      <c r="A3364" s="90" t="s">
        <v>3760</v>
      </c>
      <c r="B3364" s="90" t="s">
        <v>3761</v>
      </c>
      <c r="C3364" s="90" t="s">
        <v>8</v>
      </c>
      <c r="D3364" s="90" t="str">
        <f>VLOOKUP(Tabela1[[#This Row],[Origem]],'Perguntas 1 a 24'!$J$28:$K$34,2,FALSE)</f>
        <v>Nordeste</v>
      </c>
      <c r="E3364" s="90" t="s">
        <v>14697</v>
      </c>
      <c r="F3364" s="91">
        <v>47513</v>
      </c>
      <c r="G3364" s="92">
        <v>75897</v>
      </c>
      <c r="H3364" s="90" t="s">
        <v>11</v>
      </c>
      <c r="I33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4" s="90" t="s">
        <v>9024</v>
      </c>
    </row>
    <row r="3365" spans="1:11">
      <c r="A3365" s="90" t="s">
        <v>3760</v>
      </c>
      <c r="B3365" s="90" t="s">
        <v>3761</v>
      </c>
      <c r="C3365" s="90" t="s">
        <v>8</v>
      </c>
      <c r="D3365" s="90" t="str">
        <f>VLOOKUP(Tabela1[[#This Row],[Origem]],'Perguntas 1 a 24'!$J$28:$K$34,2,FALSE)</f>
        <v>Nordeste</v>
      </c>
      <c r="E3365" s="90" t="s">
        <v>14697</v>
      </c>
      <c r="F3365" s="91">
        <v>47513</v>
      </c>
      <c r="G3365" s="92">
        <v>75897</v>
      </c>
      <c r="H3365" s="90" t="s">
        <v>11</v>
      </c>
      <c r="I33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5" s="90" t="s">
        <v>5563</v>
      </c>
    </row>
    <row r="3366" spans="1:11">
      <c r="A3366" s="90" t="s">
        <v>3760</v>
      </c>
      <c r="B3366" s="90" t="s">
        <v>3761</v>
      </c>
      <c r="C3366" s="90" t="s">
        <v>8</v>
      </c>
      <c r="D3366" s="90" t="str">
        <f>VLOOKUP(Tabela1[[#This Row],[Origem]],'Perguntas 1 a 24'!$J$28:$K$34,2,FALSE)</f>
        <v>Nordeste</v>
      </c>
      <c r="E3366" s="90" t="s">
        <v>14697</v>
      </c>
      <c r="F3366" s="91">
        <v>47513</v>
      </c>
      <c r="G3366" s="92">
        <v>75897</v>
      </c>
      <c r="H3366" s="90" t="s">
        <v>11</v>
      </c>
      <c r="I33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6" s="90" t="s">
        <v>9818</v>
      </c>
    </row>
    <row r="3367" spans="1:11">
      <c r="A3367" s="90" t="s">
        <v>8569</v>
      </c>
      <c r="B3367" s="90" t="s">
        <v>8570</v>
      </c>
      <c r="C3367" s="90" t="s">
        <v>6</v>
      </c>
      <c r="D3367" s="90" t="str">
        <f>VLOOKUP(Tabela1[[#This Row],[Origem]],'Perguntas 1 a 24'!$J$28:$K$34,2,FALSE)</f>
        <v>Nordeste</v>
      </c>
      <c r="E3367" s="90" t="s">
        <v>14698</v>
      </c>
      <c r="F3367" s="91">
        <v>47513</v>
      </c>
      <c r="G3367" s="92">
        <v>119766</v>
      </c>
      <c r="H3367" s="90" t="s">
        <v>9</v>
      </c>
      <c r="I33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7" s="90" t="s">
        <v>10308</v>
      </c>
    </row>
    <row r="3368" spans="1:11">
      <c r="A3368" s="90" t="s">
        <v>8741</v>
      </c>
      <c r="B3368" s="90" t="s">
        <v>8742</v>
      </c>
      <c r="C3368" s="90" t="s">
        <v>6</v>
      </c>
      <c r="D3368" s="90" t="str">
        <f>VLOOKUP(Tabela1[[#This Row],[Origem]],'Perguntas 1 a 24'!$J$28:$K$34,2,FALSE)</f>
        <v>Nordeste</v>
      </c>
      <c r="E3368" s="90" t="s">
        <v>14699</v>
      </c>
      <c r="F3368" s="91">
        <v>47513</v>
      </c>
      <c r="G3368" s="92">
        <v>63322</v>
      </c>
      <c r="H3368" s="90" t="s">
        <v>9</v>
      </c>
      <c r="I33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8" s="90" t="s">
        <v>7821</v>
      </c>
    </row>
    <row r="3369" spans="1:11">
      <c r="A3369" s="90" t="s">
        <v>5366</v>
      </c>
      <c r="B3369" s="90" t="s">
        <v>5367</v>
      </c>
      <c r="C3369" s="90" t="s">
        <v>15</v>
      </c>
      <c r="D3369" s="90" t="str">
        <f>VLOOKUP(Tabela1[[#This Row],[Origem]],'Perguntas 1 a 24'!$J$28:$K$34,2,FALSE)</f>
        <v>Sudeste</v>
      </c>
      <c r="E3369" s="90" t="s">
        <v>14700</v>
      </c>
      <c r="F3369" s="91">
        <v>47517</v>
      </c>
      <c r="G3369" s="92">
        <v>25119</v>
      </c>
      <c r="H3369" s="90" t="s">
        <v>7</v>
      </c>
      <c r="I33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69" s="90" t="s">
        <v>5273</v>
      </c>
    </row>
    <row r="3370" spans="1:11">
      <c r="A3370" s="90" t="s">
        <v>7550</v>
      </c>
      <c r="B3370" s="90" t="s">
        <v>7551</v>
      </c>
      <c r="C3370" s="90" t="s">
        <v>13</v>
      </c>
      <c r="D3370" s="90" t="str">
        <f>VLOOKUP(Tabela1[[#This Row],[Origem]],'Perguntas 1 a 24'!$J$28:$K$34,2,FALSE)</f>
        <v>Sudeste</v>
      </c>
      <c r="E3370" s="90" t="s">
        <v>14701</v>
      </c>
      <c r="F3370" s="91">
        <v>47518</v>
      </c>
      <c r="G3370" s="92">
        <v>119664</v>
      </c>
      <c r="H3370" s="90" t="s">
        <v>14</v>
      </c>
      <c r="I33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0" s="90" t="s">
        <v>5775</v>
      </c>
    </row>
    <row r="3371" spans="1:11">
      <c r="A3371" s="90" t="s">
        <v>4710</v>
      </c>
      <c r="B3371" s="90" t="s">
        <v>4711</v>
      </c>
      <c r="C3371" s="90" t="s">
        <v>13</v>
      </c>
      <c r="D3371" s="90" t="str">
        <f>VLOOKUP(Tabela1[[#This Row],[Origem]],'Perguntas 1 a 24'!$J$28:$K$34,2,FALSE)</f>
        <v>Sudeste</v>
      </c>
      <c r="E3371" s="90" t="s">
        <v>14702</v>
      </c>
      <c r="F3371" s="91">
        <v>47520</v>
      </c>
      <c r="G3371" s="92">
        <v>85943</v>
      </c>
      <c r="H3371" s="90" t="s">
        <v>9</v>
      </c>
      <c r="I33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1" s="90" t="s">
        <v>5749</v>
      </c>
    </row>
    <row r="3372" spans="1:11">
      <c r="A3372" s="90" t="s">
        <v>9023</v>
      </c>
      <c r="B3372" s="90" t="s">
        <v>9024</v>
      </c>
      <c r="C3372" s="90" t="s">
        <v>8</v>
      </c>
      <c r="D3372" s="90" t="str">
        <f>VLOOKUP(Tabela1[[#This Row],[Origem]],'Perguntas 1 a 24'!$J$28:$K$34,2,FALSE)</f>
        <v>Nordeste</v>
      </c>
      <c r="E3372" s="90" t="s">
        <v>14703</v>
      </c>
      <c r="F3372" s="91">
        <v>47520</v>
      </c>
      <c r="G3372" s="92">
        <v>35634</v>
      </c>
      <c r="H3372" s="90" t="s">
        <v>11</v>
      </c>
      <c r="I33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2" s="90" t="s">
        <v>3841</v>
      </c>
    </row>
    <row r="3373" spans="1:11">
      <c r="A3373" s="90" t="s">
        <v>5562</v>
      </c>
      <c r="B3373" s="90" t="s">
        <v>5563</v>
      </c>
      <c r="C3373" s="90" t="s">
        <v>16</v>
      </c>
      <c r="D3373" s="90" t="str">
        <f>VLOOKUP(Tabela1[[#This Row],[Origem]],'Perguntas 1 a 24'!$J$28:$K$34,2,FALSE)</f>
        <v>Sudeste</v>
      </c>
      <c r="E3373" s="90" t="s">
        <v>14704</v>
      </c>
      <c r="F3373" s="91">
        <v>47521</v>
      </c>
      <c r="G3373" s="92">
        <v>96805</v>
      </c>
      <c r="H3373" s="90" t="s">
        <v>7</v>
      </c>
      <c r="I33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3" s="90" t="s">
        <v>4895</v>
      </c>
    </row>
    <row r="3374" spans="1:11">
      <c r="A3374" s="90" t="s">
        <v>9817</v>
      </c>
      <c r="B3374" s="90" t="s">
        <v>9818</v>
      </c>
      <c r="C3374" s="90" t="s">
        <v>15</v>
      </c>
      <c r="D3374" s="90" t="str">
        <f>VLOOKUP(Tabela1[[#This Row],[Origem]],'Perguntas 1 a 24'!$J$28:$K$34,2,FALSE)</f>
        <v>Sudeste</v>
      </c>
      <c r="E3374" s="90" t="s">
        <v>14705</v>
      </c>
      <c r="F3374" s="91">
        <v>47522</v>
      </c>
      <c r="G3374" s="92">
        <v>93428</v>
      </c>
      <c r="H3374" s="90" t="s">
        <v>11</v>
      </c>
      <c r="I33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4" s="90" t="s">
        <v>7065</v>
      </c>
    </row>
    <row r="3375" spans="1:11">
      <c r="A3375" s="90" t="s">
        <v>10307</v>
      </c>
      <c r="B3375" s="90" t="s">
        <v>10308</v>
      </c>
      <c r="C3375" s="90" t="s">
        <v>16</v>
      </c>
      <c r="D3375" s="90" t="str">
        <f>VLOOKUP(Tabela1[[#This Row],[Origem]],'Perguntas 1 a 24'!$J$28:$K$34,2,FALSE)</f>
        <v>Sudeste</v>
      </c>
      <c r="E3375" s="90" t="s">
        <v>14706</v>
      </c>
      <c r="F3375" s="91">
        <v>47522</v>
      </c>
      <c r="G3375" s="92">
        <v>35860</v>
      </c>
      <c r="H3375" s="90" t="s">
        <v>14</v>
      </c>
      <c r="I33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5" s="90" t="s">
        <v>8996</v>
      </c>
    </row>
    <row r="3376" spans="1:11">
      <c r="A3376" s="90" t="s">
        <v>7820</v>
      </c>
      <c r="B3376" s="90" t="s">
        <v>7821</v>
      </c>
      <c r="C3376" s="90" t="s">
        <v>12</v>
      </c>
      <c r="D3376" s="90" t="str">
        <f>VLOOKUP(Tabela1[[#This Row],[Origem]],'Perguntas 1 a 24'!$J$28:$K$34,2,FALSE)</f>
        <v>Sudeste</v>
      </c>
      <c r="E3376" s="90" t="s">
        <v>14707</v>
      </c>
      <c r="F3376" s="91">
        <v>47523</v>
      </c>
      <c r="G3376" s="92">
        <v>101070</v>
      </c>
      <c r="H3376" s="90" t="s">
        <v>11</v>
      </c>
      <c r="I33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6" s="90" t="s">
        <v>9446</v>
      </c>
    </row>
    <row r="3377" spans="1:11">
      <c r="A3377" s="90" t="s">
        <v>5272</v>
      </c>
      <c r="B3377" s="90" t="s">
        <v>5273</v>
      </c>
      <c r="C3377" s="90" t="s">
        <v>12</v>
      </c>
      <c r="D3377" s="90" t="str">
        <f>VLOOKUP(Tabela1[[#This Row],[Origem]],'Perguntas 1 a 24'!$J$28:$K$34,2,FALSE)</f>
        <v>Sudeste</v>
      </c>
      <c r="E3377" s="90" t="s">
        <v>14708</v>
      </c>
      <c r="F3377" s="91">
        <v>47524</v>
      </c>
      <c r="G3377" s="92">
        <v>96496</v>
      </c>
      <c r="H3377" s="90" t="s">
        <v>14</v>
      </c>
      <c r="I33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7" s="90" t="s">
        <v>4667</v>
      </c>
    </row>
    <row r="3378" spans="1:11">
      <c r="A3378" s="90" t="s">
        <v>5774</v>
      </c>
      <c r="B3378" s="90" t="s">
        <v>5775</v>
      </c>
      <c r="C3378" s="90" t="s">
        <v>16</v>
      </c>
      <c r="D3378" s="90" t="str">
        <f>VLOOKUP(Tabela1[[#This Row],[Origem]],'Perguntas 1 a 24'!$J$28:$K$34,2,FALSE)</f>
        <v>Sudeste</v>
      </c>
      <c r="E3378" s="90" t="s">
        <v>14709</v>
      </c>
      <c r="F3378" s="91">
        <v>47525</v>
      </c>
      <c r="G3378" s="92">
        <v>74473</v>
      </c>
      <c r="H3378" s="90" t="s">
        <v>14</v>
      </c>
      <c r="I33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8" s="90" t="s">
        <v>4849</v>
      </c>
    </row>
    <row r="3379" spans="1:11">
      <c r="A3379" s="90" t="s">
        <v>5748</v>
      </c>
      <c r="B3379" s="90" t="s">
        <v>5749</v>
      </c>
      <c r="C3379" s="90" t="s">
        <v>16</v>
      </c>
      <c r="D3379" s="90" t="str">
        <f>VLOOKUP(Tabela1[[#This Row],[Origem]],'Perguntas 1 a 24'!$J$28:$K$34,2,FALSE)</f>
        <v>Sudeste</v>
      </c>
      <c r="E3379" s="90" t="s">
        <v>14710</v>
      </c>
      <c r="F3379" s="91">
        <v>47526</v>
      </c>
      <c r="G3379" s="92">
        <v>42005</v>
      </c>
      <c r="H3379" s="90" t="s">
        <v>7</v>
      </c>
      <c r="I33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79" s="90" t="s">
        <v>7287</v>
      </c>
    </row>
    <row r="3380" spans="1:11">
      <c r="A3380" s="90" t="s">
        <v>3840</v>
      </c>
      <c r="B3380" s="90" t="s">
        <v>3841</v>
      </c>
      <c r="C3380" s="90" t="s">
        <v>10</v>
      </c>
      <c r="D3380" s="90" t="str">
        <f>VLOOKUP(Tabela1[[#This Row],[Origem]],'Perguntas 1 a 24'!$J$28:$K$34,2,FALSE)</f>
        <v>Centro-Oeste</v>
      </c>
      <c r="E3380" s="90" t="s">
        <v>14711</v>
      </c>
      <c r="F3380" s="91">
        <v>47527</v>
      </c>
      <c r="G3380" s="92">
        <v>38926</v>
      </c>
      <c r="H3380" s="90" t="s">
        <v>9</v>
      </c>
      <c r="I33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0" s="90" t="s">
        <v>10606</v>
      </c>
    </row>
    <row r="3381" spans="1:11">
      <c r="A3381" s="90" t="s">
        <v>4894</v>
      </c>
      <c r="B3381" s="90" t="s">
        <v>4895</v>
      </c>
      <c r="C3381" s="90" t="s">
        <v>12</v>
      </c>
      <c r="D3381" s="90" t="str">
        <f>VLOOKUP(Tabela1[[#This Row],[Origem]],'Perguntas 1 a 24'!$J$28:$K$34,2,FALSE)</f>
        <v>Sudeste</v>
      </c>
      <c r="E3381" s="90" t="s">
        <v>14712</v>
      </c>
      <c r="F3381" s="91">
        <v>47527</v>
      </c>
      <c r="G3381" s="92">
        <v>117337</v>
      </c>
      <c r="H3381" s="90" t="s">
        <v>14</v>
      </c>
      <c r="I33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1" s="90" t="s">
        <v>4785</v>
      </c>
    </row>
    <row r="3382" spans="1:11">
      <c r="A3382" s="90" t="s">
        <v>7064</v>
      </c>
      <c r="B3382" s="90" t="s">
        <v>7065</v>
      </c>
      <c r="C3382" s="90" t="s">
        <v>6</v>
      </c>
      <c r="D3382" s="90" t="str">
        <f>VLOOKUP(Tabela1[[#This Row],[Origem]],'Perguntas 1 a 24'!$J$28:$K$34,2,FALSE)</f>
        <v>Nordeste</v>
      </c>
      <c r="E3382" s="90" t="s">
        <v>14713</v>
      </c>
      <c r="F3382" s="91">
        <v>47527</v>
      </c>
      <c r="G3382" s="92">
        <v>64288</v>
      </c>
      <c r="H3382" s="90" t="s">
        <v>9</v>
      </c>
      <c r="I33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2" s="90" t="s">
        <v>6151</v>
      </c>
    </row>
    <row r="3383" spans="1:11">
      <c r="A3383" s="90" t="s">
        <v>8995</v>
      </c>
      <c r="B3383" s="90" t="s">
        <v>8996</v>
      </c>
      <c r="C3383" s="90" t="s">
        <v>12</v>
      </c>
      <c r="D3383" s="90" t="str">
        <f>VLOOKUP(Tabela1[[#This Row],[Origem]],'Perguntas 1 a 24'!$J$28:$K$34,2,FALSE)</f>
        <v>Sudeste</v>
      </c>
      <c r="E3383" s="90" t="s">
        <v>14714</v>
      </c>
      <c r="F3383" s="91">
        <v>47527</v>
      </c>
      <c r="G3383" s="92">
        <v>60040</v>
      </c>
      <c r="H3383" s="90" t="s">
        <v>7</v>
      </c>
      <c r="I33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3" s="90" t="s">
        <v>4669</v>
      </c>
    </row>
    <row r="3384" spans="1:11">
      <c r="A3384" s="90" t="s">
        <v>9445</v>
      </c>
      <c r="B3384" s="90" t="s">
        <v>9446</v>
      </c>
      <c r="C3384" s="90" t="s">
        <v>6</v>
      </c>
      <c r="D3384" s="90" t="str">
        <f>VLOOKUP(Tabela1[[#This Row],[Origem]],'Perguntas 1 a 24'!$J$28:$K$34,2,FALSE)</f>
        <v>Nordeste</v>
      </c>
      <c r="E3384" s="90" t="s">
        <v>14715</v>
      </c>
      <c r="F3384" s="91">
        <v>47527</v>
      </c>
      <c r="G3384" s="92">
        <v>40678</v>
      </c>
      <c r="H3384" s="90" t="s">
        <v>11</v>
      </c>
      <c r="I33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4" s="90" t="s">
        <v>5969</v>
      </c>
    </row>
    <row r="3385" spans="1:11">
      <c r="A3385" s="90" t="s">
        <v>4666</v>
      </c>
      <c r="B3385" s="90" t="s">
        <v>4667</v>
      </c>
      <c r="C3385" s="90" t="s">
        <v>16</v>
      </c>
      <c r="D3385" s="90" t="str">
        <f>VLOOKUP(Tabela1[[#This Row],[Origem]],'Perguntas 1 a 24'!$J$28:$K$34,2,FALSE)</f>
        <v>Sudeste</v>
      </c>
      <c r="E3385" s="90" t="s">
        <v>14716</v>
      </c>
      <c r="F3385" s="91">
        <v>47529</v>
      </c>
      <c r="G3385" s="92">
        <v>49139</v>
      </c>
      <c r="H3385" s="90" t="s">
        <v>14</v>
      </c>
      <c r="I33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5" s="90" t="s">
        <v>6769</v>
      </c>
    </row>
    <row r="3386" spans="1:11">
      <c r="A3386" s="90" t="s">
        <v>4848</v>
      </c>
      <c r="B3386" s="90" t="s">
        <v>4849</v>
      </c>
      <c r="C3386" s="90" t="s">
        <v>10</v>
      </c>
      <c r="D3386" s="90" t="str">
        <f>VLOOKUP(Tabela1[[#This Row],[Origem]],'Perguntas 1 a 24'!$J$28:$K$34,2,FALSE)</f>
        <v>Centro-Oeste</v>
      </c>
      <c r="E3386" s="90" t="s">
        <v>14717</v>
      </c>
      <c r="F3386" s="91">
        <v>47529</v>
      </c>
      <c r="G3386" s="92">
        <v>74290</v>
      </c>
      <c r="H3386" s="90" t="s">
        <v>7</v>
      </c>
      <c r="I33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6" s="90" t="s">
        <v>3935</v>
      </c>
    </row>
    <row r="3387" spans="1:11">
      <c r="A3387" s="90" t="s">
        <v>7286</v>
      </c>
      <c r="B3387" s="90" t="s">
        <v>7287</v>
      </c>
      <c r="C3387" s="90" t="s">
        <v>15</v>
      </c>
      <c r="D3387" s="90" t="str">
        <f>VLOOKUP(Tabela1[[#This Row],[Origem]],'Perguntas 1 a 24'!$J$28:$K$34,2,FALSE)</f>
        <v>Sudeste</v>
      </c>
      <c r="E3387" s="90" t="s">
        <v>14718</v>
      </c>
      <c r="F3387" s="91">
        <v>47529</v>
      </c>
      <c r="G3387" s="92">
        <v>117988</v>
      </c>
      <c r="H3387" s="90" t="s">
        <v>9</v>
      </c>
      <c r="I33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7" s="90" t="s">
        <v>5781</v>
      </c>
    </row>
    <row r="3388" spans="1:11">
      <c r="A3388" s="90" t="s">
        <v>10605</v>
      </c>
      <c r="B3388" s="90" t="s">
        <v>10606</v>
      </c>
      <c r="C3388" s="90" t="s">
        <v>16</v>
      </c>
      <c r="D3388" s="90" t="str">
        <f>VLOOKUP(Tabela1[[#This Row],[Origem]],'Perguntas 1 a 24'!$J$28:$K$34,2,FALSE)</f>
        <v>Sudeste</v>
      </c>
      <c r="E3388" s="90" t="s">
        <v>14719</v>
      </c>
      <c r="F3388" s="91">
        <v>47529</v>
      </c>
      <c r="G3388" s="92">
        <v>48145</v>
      </c>
      <c r="H3388" s="90" t="s">
        <v>14</v>
      </c>
      <c r="I33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8" s="90" t="s">
        <v>10744</v>
      </c>
    </row>
    <row r="3389" spans="1:11">
      <c r="A3389" s="90" t="s">
        <v>4784</v>
      </c>
      <c r="B3389" s="90" t="s">
        <v>4785</v>
      </c>
      <c r="C3389" s="90" t="s">
        <v>6</v>
      </c>
      <c r="D3389" s="90" t="str">
        <f>VLOOKUP(Tabela1[[#This Row],[Origem]],'Perguntas 1 a 24'!$J$28:$K$34,2,FALSE)</f>
        <v>Nordeste</v>
      </c>
      <c r="E3389" s="90" t="s">
        <v>14720</v>
      </c>
      <c r="F3389" s="91">
        <v>47530</v>
      </c>
      <c r="G3389" s="92">
        <v>30276</v>
      </c>
      <c r="H3389" s="90" t="s">
        <v>7</v>
      </c>
      <c r="I33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89" s="90" t="s">
        <v>6639</v>
      </c>
    </row>
    <row r="3390" spans="1:11">
      <c r="A3390" s="90" t="s">
        <v>6150</v>
      </c>
      <c r="B3390" s="90" t="s">
        <v>6151</v>
      </c>
      <c r="C3390" s="90" t="s">
        <v>15</v>
      </c>
      <c r="D3390" s="90" t="str">
        <f>VLOOKUP(Tabela1[[#This Row],[Origem]],'Perguntas 1 a 24'!$J$28:$K$34,2,FALSE)</f>
        <v>Sudeste</v>
      </c>
      <c r="E3390" s="90" t="s">
        <v>14721</v>
      </c>
      <c r="F3390" s="91">
        <v>47530</v>
      </c>
      <c r="G3390" s="92">
        <v>37881</v>
      </c>
      <c r="H3390" s="90" t="s">
        <v>11</v>
      </c>
      <c r="I33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0" s="90" t="s">
        <v>4947</v>
      </c>
    </row>
    <row r="3391" spans="1:11">
      <c r="A3391" s="90" t="s">
        <v>4668</v>
      </c>
      <c r="B3391" s="90" t="s">
        <v>4669</v>
      </c>
      <c r="C3391" s="90" t="s">
        <v>13</v>
      </c>
      <c r="D3391" s="90" t="str">
        <f>VLOOKUP(Tabela1[[#This Row],[Origem]],'Perguntas 1 a 24'!$J$28:$K$34,2,FALSE)</f>
        <v>Sudeste</v>
      </c>
      <c r="E3391" s="90" t="s">
        <v>14722</v>
      </c>
      <c r="F3391" s="91">
        <v>47531</v>
      </c>
      <c r="G3391" s="92">
        <v>63927</v>
      </c>
      <c r="H3391" s="90" t="s">
        <v>11</v>
      </c>
      <c r="I33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1" s="90" t="s">
        <v>7519</v>
      </c>
    </row>
    <row r="3392" spans="1:11">
      <c r="A3392" s="90" t="s">
        <v>5968</v>
      </c>
      <c r="B3392" s="90" t="s">
        <v>5969</v>
      </c>
      <c r="C3392" s="90" t="s">
        <v>13</v>
      </c>
      <c r="D3392" s="90" t="str">
        <f>VLOOKUP(Tabela1[[#This Row],[Origem]],'Perguntas 1 a 24'!$J$28:$K$34,2,FALSE)</f>
        <v>Sudeste</v>
      </c>
      <c r="E3392" s="90" t="s">
        <v>14723</v>
      </c>
      <c r="F3392" s="91">
        <v>47531</v>
      </c>
      <c r="G3392" s="92">
        <v>87969</v>
      </c>
      <c r="H3392" s="90" t="s">
        <v>14</v>
      </c>
      <c r="I33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2" s="90" t="s">
        <v>7993</v>
      </c>
    </row>
    <row r="3393" spans="1:11">
      <c r="A3393" s="90" t="s">
        <v>6768</v>
      </c>
      <c r="B3393" s="90" t="s">
        <v>6769</v>
      </c>
      <c r="C3393" s="90" t="s">
        <v>10</v>
      </c>
      <c r="D3393" s="90" t="str">
        <f>VLOOKUP(Tabela1[[#This Row],[Origem]],'Perguntas 1 a 24'!$J$28:$K$34,2,FALSE)</f>
        <v>Centro-Oeste</v>
      </c>
      <c r="E3393" s="90" t="s">
        <v>14724</v>
      </c>
      <c r="F3393" s="91">
        <v>47531</v>
      </c>
      <c r="G3393" s="92">
        <v>46490</v>
      </c>
      <c r="H3393" s="90" t="s">
        <v>14</v>
      </c>
      <c r="I33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3" s="90" t="s">
        <v>9550</v>
      </c>
    </row>
    <row r="3394" spans="1:11">
      <c r="A3394" s="90" t="s">
        <v>3934</v>
      </c>
      <c r="B3394" s="90" t="s">
        <v>3935</v>
      </c>
      <c r="C3394" s="90" t="s">
        <v>8</v>
      </c>
      <c r="D3394" s="90" t="str">
        <f>VLOOKUP(Tabela1[[#This Row],[Origem]],'Perguntas 1 a 24'!$J$28:$K$34,2,FALSE)</f>
        <v>Nordeste</v>
      </c>
      <c r="E3394" s="90" t="s">
        <v>14725</v>
      </c>
      <c r="F3394" s="91">
        <v>47532</v>
      </c>
      <c r="G3394" s="92">
        <v>29954</v>
      </c>
      <c r="H3394" s="90" t="s">
        <v>11</v>
      </c>
      <c r="I33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4" s="90" t="s">
        <v>9042</v>
      </c>
    </row>
    <row r="3395" spans="1:11">
      <c r="A3395" s="90" t="s">
        <v>5780</v>
      </c>
      <c r="B3395" s="90" t="s">
        <v>5781</v>
      </c>
      <c r="C3395" s="90" t="s">
        <v>10</v>
      </c>
      <c r="D3395" s="90" t="str">
        <f>VLOOKUP(Tabela1[[#This Row],[Origem]],'Perguntas 1 a 24'!$J$28:$K$34,2,FALSE)</f>
        <v>Centro-Oeste</v>
      </c>
      <c r="E3395" s="90" t="s">
        <v>14726</v>
      </c>
      <c r="F3395" s="91">
        <v>47532</v>
      </c>
      <c r="G3395" s="92">
        <v>59206</v>
      </c>
      <c r="H3395" s="90" t="s">
        <v>9</v>
      </c>
      <c r="I33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5" s="90" t="s">
        <v>4210</v>
      </c>
    </row>
    <row r="3396" spans="1:11">
      <c r="A3396" s="90" t="s">
        <v>10743</v>
      </c>
      <c r="B3396" s="90" t="s">
        <v>10744</v>
      </c>
      <c r="C3396" s="90" t="s">
        <v>16</v>
      </c>
      <c r="D3396" s="90" t="str">
        <f>VLOOKUP(Tabela1[[#This Row],[Origem]],'Perguntas 1 a 24'!$J$28:$K$34,2,FALSE)</f>
        <v>Sudeste</v>
      </c>
      <c r="E3396" s="90" t="s">
        <v>14727</v>
      </c>
      <c r="F3396" s="91">
        <v>47532</v>
      </c>
      <c r="G3396" s="92">
        <v>105466</v>
      </c>
      <c r="H3396" s="90" t="s">
        <v>7</v>
      </c>
      <c r="I33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6" s="90" t="s">
        <v>7971</v>
      </c>
    </row>
    <row r="3397" spans="1:11">
      <c r="A3397" s="90" t="s">
        <v>6638</v>
      </c>
      <c r="B3397" s="90" t="s">
        <v>6639</v>
      </c>
      <c r="C3397" s="90" t="s">
        <v>16</v>
      </c>
      <c r="D3397" s="90" t="str">
        <f>VLOOKUP(Tabela1[[#This Row],[Origem]],'Perguntas 1 a 24'!$J$28:$K$34,2,FALSE)</f>
        <v>Sudeste</v>
      </c>
      <c r="E3397" s="90" t="s">
        <v>14728</v>
      </c>
      <c r="F3397" s="91">
        <v>47533</v>
      </c>
      <c r="G3397" s="92">
        <v>36797</v>
      </c>
      <c r="H3397" s="90" t="s">
        <v>11</v>
      </c>
      <c r="I33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7" s="90" t="s">
        <v>8574</v>
      </c>
    </row>
    <row r="3398" spans="1:11">
      <c r="A3398" s="90" t="s">
        <v>4946</v>
      </c>
      <c r="B3398" s="90" t="s">
        <v>4947</v>
      </c>
      <c r="C3398" s="90" t="s">
        <v>10</v>
      </c>
      <c r="D3398" s="90" t="str">
        <f>VLOOKUP(Tabela1[[#This Row],[Origem]],'Perguntas 1 a 24'!$J$28:$K$34,2,FALSE)</f>
        <v>Centro-Oeste</v>
      </c>
      <c r="E3398" s="90" t="s">
        <v>14729</v>
      </c>
      <c r="F3398" s="91">
        <v>47534</v>
      </c>
      <c r="G3398" s="92">
        <v>69891</v>
      </c>
      <c r="H3398" s="90" t="s">
        <v>7</v>
      </c>
      <c r="I33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8" s="90" t="s">
        <v>7793</v>
      </c>
    </row>
    <row r="3399" spans="1:11">
      <c r="A3399" s="90" t="s">
        <v>7518</v>
      </c>
      <c r="B3399" s="90" t="s">
        <v>7519</v>
      </c>
      <c r="C3399" s="90" t="s">
        <v>6</v>
      </c>
      <c r="D3399" s="90" t="str">
        <f>VLOOKUP(Tabela1[[#This Row],[Origem]],'Perguntas 1 a 24'!$J$28:$K$34,2,FALSE)</f>
        <v>Nordeste</v>
      </c>
      <c r="E3399" s="90" t="s">
        <v>14730</v>
      </c>
      <c r="F3399" s="91">
        <v>47534</v>
      </c>
      <c r="G3399" s="92">
        <v>83224</v>
      </c>
      <c r="H3399" s="90" t="s">
        <v>14</v>
      </c>
      <c r="I33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399" s="90" t="s">
        <v>9626</v>
      </c>
    </row>
    <row r="3400" spans="1:11">
      <c r="A3400" s="90" t="s">
        <v>7992</v>
      </c>
      <c r="B3400" s="90" t="s">
        <v>7993</v>
      </c>
      <c r="C3400" s="90" t="s">
        <v>6</v>
      </c>
      <c r="D3400" s="90" t="str">
        <f>VLOOKUP(Tabela1[[#This Row],[Origem]],'Perguntas 1 a 24'!$J$28:$K$34,2,FALSE)</f>
        <v>Nordeste</v>
      </c>
      <c r="E3400" s="90" t="s">
        <v>14731</v>
      </c>
      <c r="F3400" s="91">
        <v>47534</v>
      </c>
      <c r="G3400" s="92">
        <v>37551</v>
      </c>
      <c r="H3400" s="90" t="s">
        <v>11</v>
      </c>
      <c r="I34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0" s="90" t="s">
        <v>9936</v>
      </c>
    </row>
    <row r="3401" spans="1:11">
      <c r="A3401" s="90" t="s">
        <v>9549</v>
      </c>
      <c r="B3401" s="90" t="s">
        <v>9550</v>
      </c>
      <c r="C3401" s="90" t="s">
        <v>8</v>
      </c>
      <c r="D3401" s="90" t="str">
        <f>VLOOKUP(Tabela1[[#This Row],[Origem]],'Perguntas 1 a 24'!$J$28:$K$34,2,FALSE)</f>
        <v>Nordeste</v>
      </c>
      <c r="E3401" s="90" t="s">
        <v>14732</v>
      </c>
      <c r="F3401" s="91">
        <v>47534</v>
      </c>
      <c r="G3401" s="92">
        <v>86138</v>
      </c>
      <c r="H3401" s="90" t="s">
        <v>9</v>
      </c>
      <c r="I34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1" s="90" t="s">
        <v>4825</v>
      </c>
    </row>
    <row r="3402" spans="1:11">
      <c r="A3402" s="90" t="s">
        <v>9041</v>
      </c>
      <c r="B3402" s="90" t="s">
        <v>9042</v>
      </c>
      <c r="C3402" s="90" t="s">
        <v>13</v>
      </c>
      <c r="D3402" s="90" t="str">
        <f>VLOOKUP(Tabela1[[#This Row],[Origem]],'Perguntas 1 a 24'!$J$28:$K$34,2,FALSE)</f>
        <v>Sudeste</v>
      </c>
      <c r="E3402" s="90" t="s">
        <v>14733</v>
      </c>
      <c r="F3402" s="91">
        <v>47535</v>
      </c>
      <c r="G3402" s="92">
        <v>89580</v>
      </c>
      <c r="H3402" s="90" t="s">
        <v>9</v>
      </c>
      <c r="I34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2" s="90" t="s">
        <v>8652</v>
      </c>
    </row>
    <row r="3403" spans="1:11">
      <c r="A3403" s="90" t="s">
        <v>4209</v>
      </c>
      <c r="B3403" s="90" t="s">
        <v>4210</v>
      </c>
      <c r="C3403" s="90" t="s">
        <v>16</v>
      </c>
      <c r="D3403" s="90" t="str">
        <f>VLOOKUP(Tabela1[[#This Row],[Origem]],'Perguntas 1 a 24'!$J$28:$K$34,2,FALSE)</f>
        <v>Sudeste</v>
      </c>
      <c r="E3403" s="90" t="s">
        <v>14734</v>
      </c>
      <c r="F3403" s="91">
        <v>47536</v>
      </c>
      <c r="G3403" s="92">
        <v>62745</v>
      </c>
      <c r="H3403" s="90" t="s">
        <v>11</v>
      </c>
      <c r="I34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3" s="90" t="s">
        <v>10832</v>
      </c>
    </row>
    <row r="3404" spans="1:11">
      <c r="A3404" s="90" t="s">
        <v>7970</v>
      </c>
      <c r="B3404" s="90" t="s">
        <v>7971</v>
      </c>
      <c r="C3404" s="90" t="s">
        <v>10</v>
      </c>
      <c r="D3404" s="90" t="str">
        <f>VLOOKUP(Tabela1[[#This Row],[Origem]],'Perguntas 1 a 24'!$J$28:$K$34,2,FALSE)</f>
        <v>Centro-Oeste</v>
      </c>
      <c r="E3404" s="90" t="s">
        <v>14735</v>
      </c>
      <c r="F3404" s="91">
        <v>47536</v>
      </c>
      <c r="G3404" s="92">
        <v>40809</v>
      </c>
      <c r="H3404" s="90" t="s">
        <v>9</v>
      </c>
      <c r="I34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4" s="90" t="s">
        <v>4929</v>
      </c>
    </row>
    <row r="3405" spans="1:11">
      <c r="A3405" s="90" t="s">
        <v>8573</v>
      </c>
      <c r="B3405" s="90" t="s">
        <v>8574</v>
      </c>
      <c r="C3405" s="90" t="s">
        <v>12</v>
      </c>
      <c r="D3405" s="90" t="str">
        <f>VLOOKUP(Tabela1[[#This Row],[Origem]],'Perguntas 1 a 24'!$J$28:$K$34,2,FALSE)</f>
        <v>Sudeste</v>
      </c>
      <c r="E3405" s="90" t="s">
        <v>14736</v>
      </c>
      <c r="F3405" s="91">
        <v>47536</v>
      </c>
      <c r="G3405" s="92">
        <v>73488</v>
      </c>
      <c r="H3405" s="90" t="s">
        <v>9</v>
      </c>
      <c r="I34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5" s="90" t="s">
        <v>8185</v>
      </c>
    </row>
    <row r="3406" spans="1:11">
      <c r="A3406" s="90" t="s">
        <v>7792</v>
      </c>
      <c r="B3406" s="90" t="s">
        <v>7793</v>
      </c>
      <c r="C3406" s="90" t="s">
        <v>13</v>
      </c>
      <c r="D3406" s="90" t="str">
        <f>VLOOKUP(Tabela1[[#This Row],[Origem]],'Perguntas 1 a 24'!$J$28:$K$34,2,FALSE)</f>
        <v>Sudeste</v>
      </c>
      <c r="E3406" s="90" t="s">
        <v>14737</v>
      </c>
      <c r="F3406" s="91">
        <v>47537</v>
      </c>
      <c r="G3406" s="92">
        <v>41746</v>
      </c>
      <c r="H3406" s="90" t="s">
        <v>11</v>
      </c>
      <c r="I34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6" s="90" t="s">
        <v>10022</v>
      </c>
    </row>
    <row r="3407" spans="1:11">
      <c r="A3407" s="90" t="s">
        <v>9625</v>
      </c>
      <c r="B3407" s="90" t="s">
        <v>9626</v>
      </c>
      <c r="C3407" s="90" t="s">
        <v>10</v>
      </c>
      <c r="D3407" s="90" t="str">
        <f>VLOOKUP(Tabela1[[#This Row],[Origem]],'Perguntas 1 a 24'!$J$28:$K$34,2,FALSE)</f>
        <v>Centro-Oeste</v>
      </c>
      <c r="E3407" s="90" t="s">
        <v>14738</v>
      </c>
      <c r="F3407" s="91">
        <v>47539</v>
      </c>
      <c r="G3407" s="92">
        <v>87317</v>
      </c>
      <c r="H3407" s="90" t="s">
        <v>9</v>
      </c>
      <c r="I34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7" s="90" t="s">
        <v>9402</v>
      </c>
    </row>
    <row r="3408" spans="1:11">
      <c r="A3408" s="90" t="s">
        <v>9935</v>
      </c>
      <c r="B3408" s="90" t="s">
        <v>9936</v>
      </c>
      <c r="C3408" s="90" t="s">
        <v>12</v>
      </c>
      <c r="D3408" s="90" t="str">
        <f>VLOOKUP(Tabela1[[#This Row],[Origem]],'Perguntas 1 a 24'!$J$28:$K$34,2,FALSE)</f>
        <v>Sudeste</v>
      </c>
      <c r="E3408" s="90" t="s">
        <v>14739</v>
      </c>
      <c r="F3408" s="91">
        <v>47539</v>
      </c>
      <c r="G3408" s="92">
        <v>74252</v>
      </c>
      <c r="H3408" s="90" t="s">
        <v>11</v>
      </c>
      <c r="I34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8" s="90" t="s">
        <v>5039</v>
      </c>
    </row>
    <row r="3409" spans="1:11">
      <c r="A3409" s="90" t="s">
        <v>4824</v>
      </c>
      <c r="B3409" s="90" t="s">
        <v>4825</v>
      </c>
      <c r="C3409" s="90" t="s">
        <v>13</v>
      </c>
      <c r="D3409" s="90" t="str">
        <f>VLOOKUP(Tabela1[[#This Row],[Origem]],'Perguntas 1 a 24'!$J$28:$K$34,2,FALSE)</f>
        <v>Sudeste</v>
      </c>
      <c r="E3409" s="90" t="s">
        <v>14740</v>
      </c>
      <c r="F3409" s="91">
        <v>47541</v>
      </c>
      <c r="G3409" s="92">
        <v>40125</v>
      </c>
      <c r="H3409" s="90" t="s">
        <v>11</v>
      </c>
      <c r="I34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09" s="90" t="s">
        <v>11093</v>
      </c>
    </row>
    <row r="3410" spans="1:11">
      <c r="A3410" s="90" t="s">
        <v>8651</v>
      </c>
      <c r="B3410" s="90" t="s">
        <v>8652</v>
      </c>
      <c r="C3410" s="90" t="s">
        <v>8</v>
      </c>
      <c r="D3410" s="90" t="str">
        <f>VLOOKUP(Tabela1[[#This Row],[Origem]],'Perguntas 1 a 24'!$J$28:$K$34,2,FALSE)</f>
        <v>Nordeste</v>
      </c>
      <c r="E3410" s="90" t="s">
        <v>14741</v>
      </c>
      <c r="F3410" s="91">
        <v>47541</v>
      </c>
      <c r="G3410" s="92">
        <v>103022</v>
      </c>
      <c r="H3410" s="90" t="s">
        <v>9</v>
      </c>
      <c r="I34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0" s="90" t="s">
        <v>4883</v>
      </c>
    </row>
    <row r="3411" spans="1:11">
      <c r="A3411" s="90" t="s">
        <v>10831</v>
      </c>
      <c r="B3411" s="90" t="s">
        <v>10832</v>
      </c>
      <c r="C3411" s="90" t="s">
        <v>16</v>
      </c>
      <c r="D3411" s="90" t="str">
        <f>VLOOKUP(Tabela1[[#This Row],[Origem]],'Perguntas 1 a 24'!$J$28:$K$34,2,FALSE)</f>
        <v>Sudeste</v>
      </c>
      <c r="E3411" s="90" t="s">
        <v>14742</v>
      </c>
      <c r="F3411" s="91">
        <v>47541</v>
      </c>
      <c r="G3411" s="92">
        <v>44605</v>
      </c>
      <c r="H3411" s="90" t="s">
        <v>11</v>
      </c>
      <c r="I34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1" s="90" t="s">
        <v>7507</v>
      </c>
    </row>
    <row r="3412" spans="1:11">
      <c r="A3412" s="90" t="s">
        <v>4928</v>
      </c>
      <c r="B3412" s="90" t="s">
        <v>4929</v>
      </c>
      <c r="C3412" s="90" t="s">
        <v>8</v>
      </c>
      <c r="D3412" s="90" t="str">
        <f>VLOOKUP(Tabela1[[#This Row],[Origem]],'Perguntas 1 a 24'!$J$28:$K$34,2,FALSE)</f>
        <v>Nordeste</v>
      </c>
      <c r="E3412" s="90" t="s">
        <v>14743</v>
      </c>
      <c r="F3412" s="91">
        <v>47542</v>
      </c>
      <c r="G3412" s="92">
        <v>39345</v>
      </c>
      <c r="H3412" s="90" t="s">
        <v>9</v>
      </c>
      <c r="I34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2" s="90" t="s">
        <v>10520</v>
      </c>
    </row>
    <row r="3413" spans="1:11">
      <c r="A3413" s="90" t="s">
        <v>8184</v>
      </c>
      <c r="B3413" s="90" t="s">
        <v>8185</v>
      </c>
      <c r="C3413" s="90" t="s">
        <v>16</v>
      </c>
      <c r="D3413" s="90" t="str">
        <f>VLOOKUP(Tabela1[[#This Row],[Origem]],'Perguntas 1 a 24'!$J$28:$K$34,2,FALSE)</f>
        <v>Sudeste</v>
      </c>
      <c r="E3413" s="90" t="s">
        <v>14744</v>
      </c>
      <c r="F3413" s="91">
        <v>47542</v>
      </c>
      <c r="G3413" s="92">
        <v>41413</v>
      </c>
      <c r="H3413" s="90" t="s">
        <v>9</v>
      </c>
      <c r="I34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3" s="90" t="s">
        <v>3829</v>
      </c>
    </row>
    <row r="3414" spans="1:11">
      <c r="A3414" s="90" t="s">
        <v>10021</v>
      </c>
      <c r="B3414" s="90" t="s">
        <v>10022</v>
      </c>
      <c r="C3414" s="90" t="s">
        <v>15</v>
      </c>
      <c r="D3414" s="90" t="str">
        <f>VLOOKUP(Tabela1[[#This Row],[Origem]],'Perguntas 1 a 24'!$J$28:$K$34,2,FALSE)</f>
        <v>Sudeste</v>
      </c>
      <c r="E3414" s="90" t="s">
        <v>14745</v>
      </c>
      <c r="F3414" s="91">
        <v>47542</v>
      </c>
      <c r="G3414" s="92">
        <v>77257</v>
      </c>
      <c r="H3414" s="90" t="s">
        <v>11</v>
      </c>
      <c r="I34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4" s="90" t="s">
        <v>4186</v>
      </c>
    </row>
    <row r="3415" spans="1:11">
      <c r="A3415" s="90" t="s">
        <v>9401</v>
      </c>
      <c r="B3415" s="90" t="s">
        <v>9402</v>
      </c>
      <c r="C3415" s="90" t="s">
        <v>12</v>
      </c>
      <c r="D3415" s="90" t="str">
        <f>VLOOKUP(Tabela1[[#This Row],[Origem]],'Perguntas 1 a 24'!$J$28:$K$34,2,FALSE)</f>
        <v>Sudeste</v>
      </c>
      <c r="E3415" s="90" t="s">
        <v>14746</v>
      </c>
      <c r="F3415" s="91">
        <v>47543</v>
      </c>
      <c r="G3415" s="92">
        <v>32684</v>
      </c>
      <c r="H3415" s="90" t="s">
        <v>11</v>
      </c>
      <c r="I34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5" s="90" t="s">
        <v>6169</v>
      </c>
    </row>
    <row r="3416" spans="1:11">
      <c r="A3416" s="90" t="s">
        <v>5038</v>
      </c>
      <c r="B3416" s="90" t="s">
        <v>5039</v>
      </c>
      <c r="C3416" s="90" t="s">
        <v>8</v>
      </c>
      <c r="D3416" s="90" t="str">
        <f>VLOOKUP(Tabela1[[#This Row],[Origem]],'Perguntas 1 a 24'!$J$28:$K$34,2,FALSE)</f>
        <v>Nordeste</v>
      </c>
      <c r="E3416" s="90" t="s">
        <v>14747</v>
      </c>
      <c r="F3416" s="91">
        <v>47544</v>
      </c>
      <c r="G3416" s="92">
        <v>26577</v>
      </c>
      <c r="H3416" s="90" t="s">
        <v>11</v>
      </c>
      <c r="I34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6" s="90" t="s">
        <v>5517</v>
      </c>
    </row>
    <row r="3417" spans="1:11">
      <c r="A3417" s="90" t="s">
        <v>11092</v>
      </c>
      <c r="B3417" s="90" t="s">
        <v>11093</v>
      </c>
      <c r="C3417" s="90" t="s">
        <v>12</v>
      </c>
      <c r="D3417" s="90" t="str">
        <f>VLOOKUP(Tabela1[[#This Row],[Origem]],'Perguntas 1 a 24'!$J$28:$K$34,2,FALSE)</f>
        <v>Sudeste</v>
      </c>
      <c r="E3417" s="90" t="s">
        <v>14748</v>
      </c>
      <c r="F3417" s="91">
        <v>47544</v>
      </c>
      <c r="G3417" s="92">
        <v>114363</v>
      </c>
      <c r="H3417" s="90" t="s">
        <v>14</v>
      </c>
      <c r="I34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7" s="90" t="s">
        <v>8259</v>
      </c>
    </row>
    <row r="3418" spans="1:11">
      <c r="A3418" s="90" t="s">
        <v>4882</v>
      </c>
      <c r="B3418" s="90" t="s">
        <v>4883</v>
      </c>
      <c r="C3418" s="90" t="s">
        <v>13</v>
      </c>
      <c r="D3418" s="90" t="str">
        <f>VLOOKUP(Tabela1[[#This Row],[Origem]],'Perguntas 1 a 24'!$J$28:$K$34,2,FALSE)</f>
        <v>Sudeste</v>
      </c>
      <c r="E3418" s="90" t="s">
        <v>14749</v>
      </c>
      <c r="F3418" s="91">
        <v>47545</v>
      </c>
      <c r="G3418" s="92">
        <v>109816</v>
      </c>
      <c r="H3418" s="90" t="s">
        <v>14</v>
      </c>
      <c r="I34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8" s="90" t="s">
        <v>10926</v>
      </c>
    </row>
    <row r="3419" spans="1:11">
      <c r="A3419" s="90" t="s">
        <v>7506</v>
      </c>
      <c r="B3419" s="90" t="s">
        <v>7507</v>
      </c>
      <c r="C3419" s="90" t="s">
        <v>12</v>
      </c>
      <c r="D3419" s="90" t="str">
        <f>VLOOKUP(Tabela1[[#This Row],[Origem]],'Perguntas 1 a 24'!$J$28:$K$34,2,FALSE)</f>
        <v>Sudeste</v>
      </c>
      <c r="E3419" s="90" t="s">
        <v>14750</v>
      </c>
      <c r="F3419" s="91">
        <v>47545</v>
      </c>
      <c r="G3419" s="92">
        <v>94180</v>
      </c>
      <c r="H3419" s="90" t="s">
        <v>7</v>
      </c>
      <c r="I34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19" s="90" t="s">
        <v>8319</v>
      </c>
    </row>
    <row r="3420" spans="1:11">
      <c r="A3420" s="90" t="s">
        <v>10519</v>
      </c>
      <c r="B3420" s="90" t="s">
        <v>10520</v>
      </c>
      <c r="C3420" s="90" t="s">
        <v>16</v>
      </c>
      <c r="D3420" s="90" t="str">
        <f>VLOOKUP(Tabela1[[#This Row],[Origem]],'Perguntas 1 a 24'!$J$28:$K$34,2,FALSE)</f>
        <v>Sudeste</v>
      </c>
      <c r="E3420" s="90" t="s">
        <v>14751</v>
      </c>
      <c r="F3420" s="91">
        <v>47545</v>
      </c>
      <c r="G3420" s="92">
        <v>32830</v>
      </c>
      <c r="H3420" s="90" t="s">
        <v>14</v>
      </c>
      <c r="I34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0" s="90" t="s">
        <v>4051</v>
      </c>
    </row>
    <row r="3421" spans="1:11">
      <c r="A3421" s="90" t="s">
        <v>3828</v>
      </c>
      <c r="B3421" s="90" t="s">
        <v>3829</v>
      </c>
      <c r="C3421" s="90" t="s">
        <v>10</v>
      </c>
      <c r="D3421" s="90" t="str">
        <f>VLOOKUP(Tabela1[[#This Row],[Origem]],'Perguntas 1 a 24'!$J$28:$K$34,2,FALSE)</f>
        <v>Centro-Oeste</v>
      </c>
      <c r="E3421" s="90" t="s">
        <v>14752</v>
      </c>
      <c r="F3421" s="91">
        <v>47546</v>
      </c>
      <c r="G3421" s="92">
        <v>25364</v>
      </c>
      <c r="H3421" s="90" t="s">
        <v>11</v>
      </c>
      <c r="I34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1" s="90" t="s">
        <v>5203</v>
      </c>
    </row>
    <row r="3422" spans="1:11">
      <c r="A3422" s="90" t="s">
        <v>4185</v>
      </c>
      <c r="B3422" s="90" t="s">
        <v>4186</v>
      </c>
      <c r="C3422" s="90" t="s">
        <v>6</v>
      </c>
      <c r="D3422" s="90" t="str">
        <f>VLOOKUP(Tabela1[[#This Row],[Origem]],'Perguntas 1 a 24'!$J$28:$K$34,2,FALSE)</f>
        <v>Nordeste</v>
      </c>
      <c r="E3422" s="90" t="s">
        <v>14753</v>
      </c>
      <c r="F3422" s="91">
        <v>47546</v>
      </c>
      <c r="G3422" s="92">
        <v>79467</v>
      </c>
      <c r="H3422" s="90" t="s">
        <v>9</v>
      </c>
      <c r="I34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2" s="90" t="s">
        <v>9564</v>
      </c>
    </row>
    <row r="3423" spans="1:11">
      <c r="A3423" s="90" t="s">
        <v>6168</v>
      </c>
      <c r="B3423" s="90" t="s">
        <v>6169</v>
      </c>
      <c r="C3423" s="90" t="s">
        <v>15</v>
      </c>
      <c r="D3423" s="90" t="str">
        <f>VLOOKUP(Tabela1[[#This Row],[Origem]],'Perguntas 1 a 24'!$J$28:$K$34,2,FALSE)</f>
        <v>Sudeste</v>
      </c>
      <c r="E3423" s="90" t="s">
        <v>14754</v>
      </c>
      <c r="F3423" s="91">
        <v>47546</v>
      </c>
      <c r="G3423" s="92">
        <v>23671</v>
      </c>
      <c r="H3423" s="90" t="s">
        <v>14</v>
      </c>
      <c r="I34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3" s="90" t="s">
        <v>8147</v>
      </c>
    </row>
    <row r="3424" spans="1:11">
      <c r="A3424" s="90" t="s">
        <v>5516</v>
      </c>
      <c r="B3424" s="90" t="s">
        <v>5517</v>
      </c>
      <c r="C3424" s="90" t="s">
        <v>6</v>
      </c>
      <c r="D3424" s="90" t="str">
        <f>VLOOKUP(Tabela1[[#This Row],[Origem]],'Perguntas 1 a 24'!$J$28:$K$34,2,FALSE)</f>
        <v>Nordeste</v>
      </c>
      <c r="E3424" s="90" t="s">
        <v>14755</v>
      </c>
      <c r="F3424" s="91">
        <v>47547</v>
      </c>
      <c r="G3424" s="92">
        <v>117248</v>
      </c>
      <c r="H3424" s="90" t="s">
        <v>14</v>
      </c>
      <c r="I34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4" s="90" t="s">
        <v>9312</v>
      </c>
    </row>
    <row r="3425" spans="1:11">
      <c r="A3425" s="90" t="s">
        <v>8258</v>
      </c>
      <c r="B3425" s="90" t="s">
        <v>8259</v>
      </c>
      <c r="C3425" s="90" t="s">
        <v>13</v>
      </c>
      <c r="D3425" s="90" t="str">
        <f>VLOOKUP(Tabela1[[#This Row],[Origem]],'Perguntas 1 a 24'!$J$28:$K$34,2,FALSE)</f>
        <v>Sudeste</v>
      </c>
      <c r="E3425" s="90" t="s">
        <v>14756</v>
      </c>
      <c r="F3425" s="91">
        <v>47547</v>
      </c>
      <c r="G3425" s="92">
        <v>32241</v>
      </c>
      <c r="H3425" s="90" t="s">
        <v>14</v>
      </c>
      <c r="I34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5" s="90" t="s">
        <v>5079</v>
      </c>
    </row>
    <row r="3426" spans="1:11">
      <c r="A3426" s="90" t="s">
        <v>10925</v>
      </c>
      <c r="B3426" s="90" t="s">
        <v>10926</v>
      </c>
      <c r="C3426" s="90" t="s">
        <v>15</v>
      </c>
      <c r="D3426" s="90" t="str">
        <f>VLOOKUP(Tabela1[[#This Row],[Origem]],'Perguntas 1 a 24'!$J$28:$K$34,2,FALSE)</f>
        <v>Sudeste</v>
      </c>
      <c r="E3426" s="90" t="s">
        <v>14757</v>
      </c>
      <c r="F3426" s="91">
        <v>47547</v>
      </c>
      <c r="G3426" s="92">
        <v>67047</v>
      </c>
      <c r="H3426" s="90" t="s">
        <v>11</v>
      </c>
      <c r="I34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6" s="90" t="s">
        <v>5347</v>
      </c>
    </row>
    <row r="3427" spans="1:11">
      <c r="A3427" s="90" t="s">
        <v>8318</v>
      </c>
      <c r="B3427" s="90" t="s">
        <v>8319</v>
      </c>
      <c r="C3427" s="90" t="s">
        <v>16</v>
      </c>
      <c r="D3427" s="90" t="str">
        <f>VLOOKUP(Tabela1[[#This Row],[Origem]],'Perguntas 1 a 24'!$J$28:$K$34,2,FALSE)</f>
        <v>Sudeste</v>
      </c>
      <c r="E3427" s="90" t="s">
        <v>14758</v>
      </c>
      <c r="F3427" s="91">
        <v>47548</v>
      </c>
      <c r="G3427" s="92">
        <v>114275</v>
      </c>
      <c r="H3427" s="90" t="s">
        <v>11</v>
      </c>
      <c r="I34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7" s="90" t="s">
        <v>3787</v>
      </c>
    </row>
    <row r="3428" spans="1:11">
      <c r="A3428" s="90" t="s">
        <v>4050</v>
      </c>
      <c r="B3428" s="90" t="s">
        <v>4051</v>
      </c>
      <c r="C3428" s="90" t="s">
        <v>13</v>
      </c>
      <c r="D3428" s="90" t="str">
        <f>VLOOKUP(Tabela1[[#This Row],[Origem]],'Perguntas 1 a 24'!$J$28:$K$34,2,FALSE)</f>
        <v>Sudeste</v>
      </c>
      <c r="E3428" s="90" t="s">
        <v>14759</v>
      </c>
      <c r="F3428" s="91">
        <v>47549</v>
      </c>
      <c r="G3428" s="92">
        <v>70533</v>
      </c>
      <c r="H3428" s="90" t="s">
        <v>14</v>
      </c>
      <c r="I34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8" s="90" t="s">
        <v>4167</v>
      </c>
    </row>
    <row r="3429" spans="1:11">
      <c r="A3429" s="90" t="s">
        <v>5202</v>
      </c>
      <c r="B3429" s="90" t="s">
        <v>5203</v>
      </c>
      <c r="C3429" s="90" t="s">
        <v>13</v>
      </c>
      <c r="D3429" s="90" t="str">
        <f>VLOOKUP(Tabela1[[#This Row],[Origem]],'Perguntas 1 a 24'!$J$28:$K$34,2,FALSE)</f>
        <v>Sudeste</v>
      </c>
      <c r="E3429" s="90" t="s">
        <v>14760</v>
      </c>
      <c r="F3429" s="91">
        <v>47549</v>
      </c>
      <c r="G3429" s="92">
        <v>37114</v>
      </c>
      <c r="H3429" s="90" t="s">
        <v>14</v>
      </c>
      <c r="I34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29" s="90" t="s">
        <v>9854</v>
      </c>
    </row>
    <row r="3430" spans="1:11">
      <c r="A3430" s="90" t="s">
        <v>9563</v>
      </c>
      <c r="B3430" s="90" t="s">
        <v>9564</v>
      </c>
      <c r="C3430" s="90" t="s">
        <v>10</v>
      </c>
      <c r="D3430" s="90" t="str">
        <f>VLOOKUP(Tabela1[[#This Row],[Origem]],'Perguntas 1 a 24'!$J$28:$K$34,2,FALSE)</f>
        <v>Centro-Oeste</v>
      </c>
      <c r="E3430" s="90" t="s">
        <v>14761</v>
      </c>
      <c r="F3430" s="91">
        <v>47550</v>
      </c>
      <c r="G3430" s="92">
        <v>98445</v>
      </c>
      <c r="H3430" s="90" t="s">
        <v>11</v>
      </c>
      <c r="I34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0" s="90" t="s">
        <v>4055</v>
      </c>
    </row>
    <row r="3431" spans="1:11">
      <c r="A3431" s="90" t="s">
        <v>8146</v>
      </c>
      <c r="B3431" s="90" t="s">
        <v>8147</v>
      </c>
      <c r="C3431" s="90" t="s">
        <v>6</v>
      </c>
      <c r="D3431" s="90" t="str">
        <f>VLOOKUP(Tabela1[[#This Row],[Origem]],'Perguntas 1 a 24'!$J$28:$K$34,2,FALSE)</f>
        <v>Nordeste</v>
      </c>
      <c r="E3431" s="90" t="s">
        <v>14762</v>
      </c>
      <c r="F3431" s="91">
        <v>47551</v>
      </c>
      <c r="G3431" s="92">
        <v>74484</v>
      </c>
      <c r="H3431" s="90" t="s">
        <v>11</v>
      </c>
      <c r="I34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1" s="90" t="s">
        <v>4300</v>
      </c>
    </row>
    <row r="3432" spans="1:11">
      <c r="A3432" s="90" t="s">
        <v>9311</v>
      </c>
      <c r="B3432" s="90" t="s">
        <v>9312</v>
      </c>
      <c r="C3432" s="90" t="s">
        <v>6</v>
      </c>
      <c r="D3432" s="90" t="str">
        <f>VLOOKUP(Tabela1[[#This Row],[Origem]],'Perguntas 1 a 24'!$J$28:$K$34,2,FALSE)</f>
        <v>Nordeste</v>
      </c>
      <c r="E3432" s="90" t="s">
        <v>14763</v>
      </c>
      <c r="F3432" s="91">
        <v>47551</v>
      </c>
      <c r="G3432" s="92">
        <v>56582</v>
      </c>
      <c r="H3432" s="90" t="s">
        <v>7</v>
      </c>
      <c r="I34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2" s="90" t="s">
        <v>3869</v>
      </c>
    </row>
    <row r="3433" spans="1:11">
      <c r="A3433" s="90" t="s">
        <v>5078</v>
      </c>
      <c r="B3433" s="90" t="s">
        <v>5079</v>
      </c>
      <c r="C3433" s="90" t="s">
        <v>13</v>
      </c>
      <c r="D3433" s="90" t="str">
        <f>VLOOKUP(Tabela1[[#This Row],[Origem]],'Perguntas 1 a 24'!$J$28:$K$34,2,FALSE)</f>
        <v>Sudeste</v>
      </c>
      <c r="E3433" s="90" t="s">
        <v>14764</v>
      </c>
      <c r="F3433" s="91">
        <v>47552</v>
      </c>
      <c r="G3433" s="92">
        <v>87184</v>
      </c>
      <c r="H3433" s="90" t="s">
        <v>14</v>
      </c>
      <c r="I34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3" s="90" t="s">
        <v>5975</v>
      </c>
    </row>
    <row r="3434" spans="1:11">
      <c r="A3434" s="90" t="s">
        <v>5346</v>
      </c>
      <c r="B3434" s="90" t="s">
        <v>5347</v>
      </c>
      <c r="C3434" s="90" t="s">
        <v>6</v>
      </c>
      <c r="D3434" s="90" t="str">
        <f>VLOOKUP(Tabela1[[#This Row],[Origem]],'Perguntas 1 a 24'!$J$28:$K$34,2,FALSE)</f>
        <v>Nordeste</v>
      </c>
      <c r="E3434" s="90" t="s">
        <v>14765</v>
      </c>
      <c r="F3434" s="91">
        <v>47552</v>
      </c>
      <c r="G3434" s="92">
        <v>118484</v>
      </c>
      <c r="H3434" s="90" t="s">
        <v>14</v>
      </c>
      <c r="I34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4" s="90" t="s">
        <v>8874</v>
      </c>
    </row>
    <row r="3435" spans="1:11">
      <c r="A3435" s="90" t="s">
        <v>3786</v>
      </c>
      <c r="B3435" s="90" t="s">
        <v>3787</v>
      </c>
      <c r="C3435" s="90" t="s">
        <v>16</v>
      </c>
      <c r="D3435" s="90" t="str">
        <f>VLOOKUP(Tabela1[[#This Row],[Origem]],'Perguntas 1 a 24'!$J$28:$K$34,2,FALSE)</f>
        <v>Sudeste</v>
      </c>
      <c r="E3435" s="90" t="s">
        <v>14766</v>
      </c>
      <c r="F3435" s="91">
        <v>47553</v>
      </c>
      <c r="G3435" s="92">
        <v>81573</v>
      </c>
      <c r="H3435" s="90" t="s">
        <v>7</v>
      </c>
      <c r="I34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5" s="90" t="s">
        <v>4139</v>
      </c>
    </row>
    <row r="3436" spans="1:11">
      <c r="A3436" s="90" t="s">
        <v>4166</v>
      </c>
      <c r="B3436" s="90" t="s">
        <v>4167</v>
      </c>
      <c r="C3436" s="90" t="s">
        <v>16</v>
      </c>
      <c r="D3436" s="90" t="str">
        <f>VLOOKUP(Tabela1[[#This Row],[Origem]],'Perguntas 1 a 24'!$J$28:$K$34,2,FALSE)</f>
        <v>Sudeste</v>
      </c>
      <c r="E3436" s="90" t="s">
        <v>14767</v>
      </c>
      <c r="F3436" s="91">
        <v>47554</v>
      </c>
      <c r="G3436" s="92">
        <v>30433</v>
      </c>
      <c r="H3436" s="90" t="s">
        <v>11</v>
      </c>
      <c r="I34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6" s="90" t="s">
        <v>9144</v>
      </c>
    </row>
    <row r="3437" spans="1:11">
      <c r="A3437" s="90" t="s">
        <v>9853</v>
      </c>
      <c r="B3437" s="90" t="s">
        <v>9854</v>
      </c>
      <c r="C3437" s="90" t="s">
        <v>16</v>
      </c>
      <c r="D3437" s="90" t="str">
        <f>VLOOKUP(Tabela1[[#This Row],[Origem]],'Perguntas 1 a 24'!$J$28:$K$34,2,FALSE)</f>
        <v>Sudeste</v>
      </c>
      <c r="E3437" s="90" t="s">
        <v>14768</v>
      </c>
      <c r="F3437" s="91">
        <v>47554</v>
      </c>
      <c r="G3437" s="92">
        <v>76013</v>
      </c>
      <c r="H3437" s="90" t="s">
        <v>11</v>
      </c>
      <c r="I34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7" s="90" t="s">
        <v>11069</v>
      </c>
    </row>
    <row r="3438" spans="1:11">
      <c r="A3438" s="90" t="s">
        <v>4054</v>
      </c>
      <c r="B3438" s="90" t="s">
        <v>4055</v>
      </c>
      <c r="C3438" s="90" t="s">
        <v>12</v>
      </c>
      <c r="D3438" s="90" t="str">
        <f>VLOOKUP(Tabela1[[#This Row],[Origem]],'Perguntas 1 a 24'!$J$28:$K$34,2,FALSE)</f>
        <v>Sudeste</v>
      </c>
      <c r="E3438" s="90" t="s">
        <v>14769</v>
      </c>
      <c r="F3438" s="91">
        <v>47555</v>
      </c>
      <c r="G3438" s="92">
        <v>88055</v>
      </c>
      <c r="H3438" s="90" t="s">
        <v>7</v>
      </c>
      <c r="I34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8" s="90" t="s">
        <v>6503</v>
      </c>
    </row>
    <row r="3439" spans="1:11">
      <c r="A3439" s="90" t="s">
        <v>4299</v>
      </c>
      <c r="B3439" s="90" t="s">
        <v>4300</v>
      </c>
      <c r="C3439" s="90" t="s">
        <v>16</v>
      </c>
      <c r="D3439" s="90" t="str">
        <f>VLOOKUP(Tabela1[[#This Row],[Origem]],'Perguntas 1 a 24'!$J$28:$K$34,2,FALSE)</f>
        <v>Sudeste</v>
      </c>
      <c r="E3439" s="90" t="s">
        <v>14770</v>
      </c>
      <c r="F3439" s="91">
        <v>47557</v>
      </c>
      <c r="G3439" s="92">
        <v>69611</v>
      </c>
      <c r="H3439" s="90" t="s">
        <v>7</v>
      </c>
      <c r="I34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39" s="90" t="s">
        <v>4649</v>
      </c>
    </row>
    <row r="3440" spans="1:11">
      <c r="A3440" s="90" t="s">
        <v>3868</v>
      </c>
      <c r="B3440" s="90" t="s">
        <v>3869</v>
      </c>
      <c r="C3440" s="90" t="s">
        <v>15</v>
      </c>
      <c r="D3440" s="90" t="str">
        <f>VLOOKUP(Tabela1[[#This Row],[Origem]],'Perguntas 1 a 24'!$J$28:$K$34,2,FALSE)</f>
        <v>Sudeste</v>
      </c>
      <c r="E3440" s="90" t="s">
        <v>14771</v>
      </c>
      <c r="F3440" s="91">
        <v>47558</v>
      </c>
      <c r="G3440" s="92">
        <v>87220</v>
      </c>
      <c r="H3440" s="90" t="s">
        <v>9</v>
      </c>
      <c r="I34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0" s="90" t="s">
        <v>5731</v>
      </c>
    </row>
    <row r="3441" spans="1:11">
      <c r="A3441" s="90" t="s">
        <v>5974</v>
      </c>
      <c r="B3441" s="90" t="s">
        <v>5975</v>
      </c>
      <c r="C3441" s="90" t="s">
        <v>10</v>
      </c>
      <c r="D3441" s="90" t="str">
        <f>VLOOKUP(Tabela1[[#This Row],[Origem]],'Perguntas 1 a 24'!$J$28:$K$34,2,FALSE)</f>
        <v>Centro-Oeste</v>
      </c>
      <c r="E3441" s="90" t="s">
        <v>14772</v>
      </c>
      <c r="F3441" s="91">
        <v>47559</v>
      </c>
      <c r="G3441" s="92">
        <v>114576</v>
      </c>
      <c r="H3441" s="90" t="s">
        <v>9</v>
      </c>
      <c r="I34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1" s="90" t="s">
        <v>5865</v>
      </c>
    </row>
    <row r="3442" spans="1:11">
      <c r="A3442" s="90" t="s">
        <v>8873</v>
      </c>
      <c r="B3442" s="90" t="s">
        <v>8874</v>
      </c>
      <c r="C3442" s="90" t="s">
        <v>10</v>
      </c>
      <c r="D3442" s="90" t="str">
        <f>VLOOKUP(Tabela1[[#This Row],[Origem]],'Perguntas 1 a 24'!$J$28:$K$34,2,FALSE)</f>
        <v>Centro-Oeste</v>
      </c>
      <c r="E3442" s="90" t="s">
        <v>14773</v>
      </c>
      <c r="F3442" s="91">
        <v>47560</v>
      </c>
      <c r="G3442" s="92">
        <v>95676</v>
      </c>
      <c r="H3442" s="90" t="s">
        <v>9</v>
      </c>
      <c r="I34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2" s="90" t="s">
        <v>11101</v>
      </c>
    </row>
    <row r="3443" spans="1:11">
      <c r="A3443" s="90" t="s">
        <v>4138</v>
      </c>
      <c r="B3443" s="90" t="s">
        <v>4139</v>
      </c>
      <c r="C3443" s="90" t="s">
        <v>13</v>
      </c>
      <c r="D3443" s="90" t="str">
        <f>VLOOKUP(Tabela1[[#This Row],[Origem]],'Perguntas 1 a 24'!$J$28:$K$34,2,FALSE)</f>
        <v>Sudeste</v>
      </c>
      <c r="E3443" s="90" t="s">
        <v>14774</v>
      </c>
      <c r="F3443" s="91">
        <v>47562</v>
      </c>
      <c r="G3443" s="92">
        <v>117018</v>
      </c>
      <c r="H3443" s="90" t="s">
        <v>14</v>
      </c>
      <c r="I34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3" s="90" t="s">
        <v>8604</v>
      </c>
    </row>
    <row r="3444" spans="1:11">
      <c r="A3444" s="90" t="s">
        <v>9143</v>
      </c>
      <c r="B3444" s="90" t="s">
        <v>9144</v>
      </c>
      <c r="C3444" s="90" t="s">
        <v>8</v>
      </c>
      <c r="D3444" s="90" t="str">
        <f>VLOOKUP(Tabela1[[#This Row],[Origem]],'Perguntas 1 a 24'!$J$28:$K$34,2,FALSE)</f>
        <v>Nordeste</v>
      </c>
      <c r="E3444" s="90" t="s">
        <v>14775</v>
      </c>
      <c r="F3444" s="91">
        <v>47563</v>
      </c>
      <c r="G3444" s="92">
        <v>66969</v>
      </c>
      <c r="H3444" s="90" t="s">
        <v>11</v>
      </c>
      <c r="I34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4" s="90" t="s">
        <v>4501</v>
      </c>
    </row>
    <row r="3445" spans="1:11">
      <c r="A3445" s="90" t="s">
        <v>11068</v>
      </c>
      <c r="B3445" s="90" t="s">
        <v>11069</v>
      </c>
      <c r="C3445" s="90" t="s">
        <v>12</v>
      </c>
      <c r="D3445" s="90" t="str">
        <f>VLOOKUP(Tabela1[[#This Row],[Origem]],'Perguntas 1 a 24'!$J$28:$K$34,2,FALSE)</f>
        <v>Sudeste</v>
      </c>
      <c r="E3445" s="90" t="s">
        <v>14776</v>
      </c>
      <c r="F3445" s="91">
        <v>47563</v>
      </c>
      <c r="G3445" s="92">
        <v>100008</v>
      </c>
      <c r="H3445" s="90" t="s">
        <v>11</v>
      </c>
      <c r="I34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5" s="90" t="s">
        <v>7383</v>
      </c>
    </row>
    <row r="3446" spans="1:11">
      <c r="A3446" s="90" t="s">
        <v>6502</v>
      </c>
      <c r="B3446" s="90" t="s">
        <v>6503</v>
      </c>
      <c r="C3446" s="90" t="s">
        <v>16</v>
      </c>
      <c r="D3446" s="90" t="str">
        <f>VLOOKUP(Tabela1[[#This Row],[Origem]],'Perguntas 1 a 24'!$J$28:$K$34,2,FALSE)</f>
        <v>Sudeste</v>
      </c>
      <c r="E3446" s="90" t="s">
        <v>14777</v>
      </c>
      <c r="F3446" s="91">
        <v>47564</v>
      </c>
      <c r="G3446" s="92">
        <v>69999</v>
      </c>
      <c r="H3446" s="90" t="s">
        <v>9</v>
      </c>
      <c r="I34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6" s="90" t="s">
        <v>7957</v>
      </c>
    </row>
    <row r="3447" spans="1:11">
      <c r="A3447" s="90" t="s">
        <v>4648</v>
      </c>
      <c r="B3447" s="90" t="s">
        <v>4649</v>
      </c>
      <c r="C3447" s="90" t="s">
        <v>13</v>
      </c>
      <c r="D3447" s="90" t="str">
        <f>VLOOKUP(Tabela1[[#This Row],[Origem]],'Perguntas 1 a 24'!$J$28:$K$34,2,FALSE)</f>
        <v>Sudeste</v>
      </c>
      <c r="E3447" s="90" t="s">
        <v>14778</v>
      </c>
      <c r="F3447" s="91">
        <v>47565</v>
      </c>
      <c r="G3447" s="92">
        <v>44349</v>
      </c>
      <c r="H3447" s="90" t="s">
        <v>7</v>
      </c>
      <c r="I34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7" s="90" t="s">
        <v>8495</v>
      </c>
    </row>
    <row r="3448" spans="1:11">
      <c r="A3448" s="90" t="s">
        <v>5730</v>
      </c>
      <c r="B3448" s="90" t="s">
        <v>5731</v>
      </c>
      <c r="C3448" s="90" t="s">
        <v>10</v>
      </c>
      <c r="D3448" s="90" t="str">
        <f>VLOOKUP(Tabela1[[#This Row],[Origem]],'Perguntas 1 a 24'!$J$28:$K$34,2,FALSE)</f>
        <v>Centro-Oeste</v>
      </c>
      <c r="E3448" s="90" t="s">
        <v>14779</v>
      </c>
      <c r="F3448" s="91">
        <v>47566</v>
      </c>
      <c r="G3448" s="92">
        <v>47818</v>
      </c>
      <c r="H3448" s="90" t="s">
        <v>9</v>
      </c>
      <c r="I34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8" s="90" t="s">
        <v>5993</v>
      </c>
    </row>
    <row r="3449" spans="1:11">
      <c r="A3449" s="90" t="s">
        <v>5864</v>
      </c>
      <c r="B3449" s="90" t="s">
        <v>5865</v>
      </c>
      <c r="C3449" s="90" t="s">
        <v>13</v>
      </c>
      <c r="D3449" s="90" t="str">
        <f>VLOOKUP(Tabela1[[#This Row],[Origem]],'Perguntas 1 a 24'!$J$28:$K$34,2,FALSE)</f>
        <v>Sudeste</v>
      </c>
      <c r="E3449" s="90" t="s">
        <v>14780</v>
      </c>
      <c r="F3449" s="91">
        <v>47566</v>
      </c>
      <c r="G3449" s="92">
        <v>47042</v>
      </c>
      <c r="H3449" s="90" t="s">
        <v>7</v>
      </c>
      <c r="I34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49" s="90" t="s">
        <v>9172</v>
      </c>
    </row>
    <row r="3450" spans="1:11">
      <c r="A3450" s="90" t="s">
        <v>11100</v>
      </c>
      <c r="B3450" s="90" t="s">
        <v>11101</v>
      </c>
      <c r="C3450" s="90" t="s">
        <v>15</v>
      </c>
      <c r="D3450" s="90" t="str">
        <f>VLOOKUP(Tabela1[[#This Row],[Origem]],'Perguntas 1 a 24'!$J$28:$K$34,2,FALSE)</f>
        <v>Sudeste</v>
      </c>
      <c r="E3450" s="90" t="s">
        <v>14781</v>
      </c>
      <c r="F3450" s="91">
        <v>47566</v>
      </c>
      <c r="G3450" s="92">
        <v>46569</v>
      </c>
      <c r="H3450" s="90" t="s">
        <v>14</v>
      </c>
      <c r="I34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0" s="90" t="s">
        <v>9776</v>
      </c>
    </row>
    <row r="3451" spans="1:11">
      <c r="A3451" s="90" t="s">
        <v>8603</v>
      </c>
      <c r="B3451" s="90" t="s">
        <v>8604</v>
      </c>
      <c r="C3451" s="90" t="s">
        <v>16</v>
      </c>
      <c r="D3451" s="90" t="str">
        <f>VLOOKUP(Tabela1[[#This Row],[Origem]],'Perguntas 1 a 24'!$J$28:$K$34,2,FALSE)</f>
        <v>Sudeste</v>
      </c>
      <c r="E3451" s="90" t="s">
        <v>14782</v>
      </c>
      <c r="F3451" s="91">
        <v>47567</v>
      </c>
      <c r="G3451" s="92">
        <v>113965</v>
      </c>
      <c r="H3451" s="90" t="s">
        <v>11</v>
      </c>
      <c r="I34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1" s="90" t="s">
        <v>5595</v>
      </c>
    </row>
    <row r="3452" spans="1:11">
      <c r="A3452" s="90" t="s">
        <v>4500</v>
      </c>
      <c r="B3452" s="90" t="s">
        <v>4501</v>
      </c>
      <c r="C3452" s="90" t="s">
        <v>10</v>
      </c>
      <c r="D3452" s="90" t="str">
        <f>VLOOKUP(Tabela1[[#This Row],[Origem]],'Perguntas 1 a 24'!$J$28:$K$34,2,FALSE)</f>
        <v>Centro-Oeste</v>
      </c>
      <c r="E3452" s="90" t="s">
        <v>14783</v>
      </c>
      <c r="F3452" s="91">
        <v>47568</v>
      </c>
      <c r="G3452" s="92">
        <v>74659</v>
      </c>
      <c r="H3452" s="90" t="s">
        <v>11</v>
      </c>
      <c r="I34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2" s="90" t="s">
        <v>5807</v>
      </c>
    </row>
    <row r="3453" spans="1:11">
      <c r="A3453" s="90" t="s">
        <v>7382</v>
      </c>
      <c r="B3453" s="90" t="s">
        <v>7383</v>
      </c>
      <c r="C3453" s="90" t="s">
        <v>6</v>
      </c>
      <c r="D3453" s="90" t="str">
        <f>VLOOKUP(Tabela1[[#This Row],[Origem]],'Perguntas 1 a 24'!$J$28:$K$34,2,FALSE)</f>
        <v>Nordeste</v>
      </c>
      <c r="E3453" s="90" t="s">
        <v>14784</v>
      </c>
      <c r="F3453" s="91">
        <v>47569</v>
      </c>
      <c r="G3453" s="92">
        <v>66353</v>
      </c>
      <c r="H3453" s="90" t="s">
        <v>14</v>
      </c>
      <c r="I34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3" s="90" t="s">
        <v>7545</v>
      </c>
    </row>
    <row r="3454" spans="1:11">
      <c r="A3454" s="90" t="s">
        <v>7956</v>
      </c>
      <c r="B3454" s="90" t="s">
        <v>7957</v>
      </c>
      <c r="C3454" s="90" t="s">
        <v>12</v>
      </c>
      <c r="D3454" s="90" t="str">
        <f>VLOOKUP(Tabela1[[#This Row],[Origem]],'Perguntas 1 a 24'!$J$28:$K$34,2,FALSE)</f>
        <v>Sudeste</v>
      </c>
      <c r="E3454" s="90" t="s">
        <v>14785</v>
      </c>
      <c r="F3454" s="91">
        <v>47569</v>
      </c>
      <c r="G3454" s="92">
        <v>79306</v>
      </c>
      <c r="H3454" s="90" t="s">
        <v>9</v>
      </c>
      <c r="I34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4" s="90" t="s">
        <v>5809</v>
      </c>
    </row>
    <row r="3455" spans="1:11">
      <c r="A3455" s="90" t="s">
        <v>8494</v>
      </c>
      <c r="B3455" s="90" t="s">
        <v>8495</v>
      </c>
      <c r="C3455" s="90" t="s">
        <v>16</v>
      </c>
      <c r="D3455" s="90" t="str">
        <f>VLOOKUP(Tabela1[[#This Row],[Origem]],'Perguntas 1 a 24'!$J$28:$K$34,2,FALSE)</f>
        <v>Sudeste</v>
      </c>
      <c r="E3455" s="90" t="s">
        <v>14786</v>
      </c>
      <c r="F3455" s="91">
        <v>47569</v>
      </c>
      <c r="G3455" s="92">
        <v>87055</v>
      </c>
      <c r="H3455" s="90" t="s">
        <v>9</v>
      </c>
      <c r="I34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5" s="90" t="s">
        <v>6227</v>
      </c>
    </row>
    <row r="3456" spans="1:11">
      <c r="A3456" s="90" t="s">
        <v>5992</v>
      </c>
      <c r="B3456" s="90" t="s">
        <v>5993</v>
      </c>
      <c r="C3456" s="90" t="s">
        <v>12</v>
      </c>
      <c r="D3456" s="90" t="str">
        <f>VLOOKUP(Tabela1[[#This Row],[Origem]],'Perguntas 1 a 24'!$J$28:$K$34,2,FALSE)</f>
        <v>Sudeste</v>
      </c>
      <c r="E3456" s="90" t="s">
        <v>14787</v>
      </c>
      <c r="F3456" s="91">
        <v>47571</v>
      </c>
      <c r="G3456" s="92">
        <v>35981</v>
      </c>
      <c r="H3456" s="90" t="s">
        <v>11</v>
      </c>
      <c r="I34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6" s="90" t="s">
        <v>8868</v>
      </c>
    </row>
    <row r="3457" spans="1:11">
      <c r="A3457" s="90" t="s">
        <v>9171</v>
      </c>
      <c r="B3457" s="90" t="s">
        <v>9172</v>
      </c>
      <c r="C3457" s="90" t="s">
        <v>12</v>
      </c>
      <c r="D3457" s="90" t="str">
        <f>VLOOKUP(Tabela1[[#This Row],[Origem]],'Perguntas 1 a 24'!$J$28:$K$34,2,FALSE)</f>
        <v>Sudeste</v>
      </c>
      <c r="E3457" s="90" t="s">
        <v>14788</v>
      </c>
      <c r="F3457" s="91">
        <v>47571</v>
      </c>
      <c r="G3457" s="92">
        <v>118595</v>
      </c>
      <c r="H3457" s="90" t="s">
        <v>11</v>
      </c>
      <c r="I34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7" s="90" t="s">
        <v>9032</v>
      </c>
    </row>
    <row r="3458" spans="1:11">
      <c r="A3458" s="90" t="s">
        <v>9775</v>
      </c>
      <c r="B3458" s="90" t="s">
        <v>9776</v>
      </c>
      <c r="C3458" s="90" t="s">
        <v>10</v>
      </c>
      <c r="D3458" s="90" t="str">
        <f>VLOOKUP(Tabela1[[#This Row],[Origem]],'Perguntas 1 a 24'!$J$28:$K$34,2,FALSE)</f>
        <v>Centro-Oeste</v>
      </c>
      <c r="E3458" s="90" t="s">
        <v>14789</v>
      </c>
      <c r="F3458" s="91">
        <v>47573</v>
      </c>
      <c r="G3458" s="92">
        <v>115626</v>
      </c>
      <c r="H3458" s="90" t="s">
        <v>11</v>
      </c>
      <c r="I34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8" s="90" t="s">
        <v>5561</v>
      </c>
    </row>
    <row r="3459" spans="1:11">
      <c r="A3459" s="90" t="s">
        <v>5594</v>
      </c>
      <c r="B3459" s="90" t="s">
        <v>5595</v>
      </c>
      <c r="C3459" s="90" t="s">
        <v>6</v>
      </c>
      <c r="D3459" s="90" t="str">
        <f>VLOOKUP(Tabela1[[#This Row],[Origem]],'Perguntas 1 a 24'!$J$28:$K$34,2,FALSE)</f>
        <v>Nordeste</v>
      </c>
      <c r="E3459" s="90" t="s">
        <v>14790</v>
      </c>
      <c r="F3459" s="91">
        <v>47574</v>
      </c>
      <c r="G3459" s="92">
        <v>40199</v>
      </c>
      <c r="H3459" s="90" t="s">
        <v>9</v>
      </c>
      <c r="I34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59" s="90" t="s">
        <v>4220</v>
      </c>
    </row>
    <row r="3460" spans="1:11">
      <c r="A3460" s="90" t="s">
        <v>5806</v>
      </c>
      <c r="B3460" s="90" t="s">
        <v>5807</v>
      </c>
      <c r="C3460" s="90" t="s">
        <v>10</v>
      </c>
      <c r="D3460" s="90" t="str">
        <f>VLOOKUP(Tabela1[[#This Row],[Origem]],'Perguntas 1 a 24'!$J$28:$K$34,2,FALSE)</f>
        <v>Centro-Oeste</v>
      </c>
      <c r="E3460" s="90" t="s">
        <v>14791</v>
      </c>
      <c r="F3460" s="91">
        <v>47574</v>
      </c>
      <c r="G3460" s="92">
        <v>42078</v>
      </c>
      <c r="H3460" s="90" t="s">
        <v>9</v>
      </c>
      <c r="I34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0" s="90" t="s">
        <v>11124</v>
      </c>
    </row>
    <row r="3461" spans="1:11">
      <c r="A3461" s="90" t="s">
        <v>7544</v>
      </c>
      <c r="B3461" s="90" t="s">
        <v>7545</v>
      </c>
      <c r="C3461" s="90" t="s">
        <v>12</v>
      </c>
      <c r="D3461" s="90" t="str">
        <f>VLOOKUP(Tabela1[[#This Row],[Origem]],'Perguntas 1 a 24'!$J$28:$K$34,2,FALSE)</f>
        <v>Sudeste</v>
      </c>
      <c r="E3461" s="90" t="s">
        <v>14792</v>
      </c>
      <c r="F3461" s="91">
        <v>47574</v>
      </c>
      <c r="G3461" s="92">
        <v>57342</v>
      </c>
      <c r="H3461" s="90" t="s">
        <v>14</v>
      </c>
      <c r="I34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1" s="90" t="s">
        <v>7271</v>
      </c>
    </row>
    <row r="3462" spans="1:11">
      <c r="A3462" s="90" t="s">
        <v>5808</v>
      </c>
      <c r="B3462" s="90" t="s">
        <v>5809</v>
      </c>
      <c r="C3462" s="90" t="s">
        <v>16</v>
      </c>
      <c r="D3462" s="90" t="str">
        <f>VLOOKUP(Tabela1[[#This Row],[Origem]],'Perguntas 1 a 24'!$J$28:$K$34,2,FALSE)</f>
        <v>Sudeste</v>
      </c>
      <c r="E3462" s="90" t="s">
        <v>14793</v>
      </c>
      <c r="F3462" s="91">
        <v>47575</v>
      </c>
      <c r="G3462" s="92">
        <v>90581</v>
      </c>
      <c r="H3462" s="90" t="s">
        <v>14</v>
      </c>
      <c r="I34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2" s="90" t="s">
        <v>10254</v>
      </c>
    </row>
    <row r="3463" spans="1:11">
      <c r="A3463" s="90" t="s">
        <v>6226</v>
      </c>
      <c r="B3463" s="90" t="s">
        <v>6227</v>
      </c>
      <c r="C3463" s="90" t="s">
        <v>15</v>
      </c>
      <c r="D3463" s="90" t="str">
        <f>VLOOKUP(Tabela1[[#This Row],[Origem]],'Perguntas 1 a 24'!$J$28:$K$34,2,FALSE)</f>
        <v>Sudeste</v>
      </c>
      <c r="E3463" s="90" t="s">
        <v>14794</v>
      </c>
      <c r="F3463" s="91">
        <v>47575</v>
      </c>
      <c r="G3463" s="92">
        <v>92578</v>
      </c>
      <c r="H3463" s="90" t="s">
        <v>11</v>
      </c>
      <c r="I34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3" s="90" t="s">
        <v>3723</v>
      </c>
    </row>
    <row r="3464" spans="1:11">
      <c r="A3464" s="90" t="s">
        <v>8867</v>
      </c>
      <c r="B3464" s="90" t="s">
        <v>8868</v>
      </c>
      <c r="C3464" s="90" t="s">
        <v>16</v>
      </c>
      <c r="D3464" s="90" t="str">
        <f>VLOOKUP(Tabela1[[#This Row],[Origem]],'Perguntas 1 a 24'!$J$28:$K$34,2,FALSE)</f>
        <v>Sudeste</v>
      </c>
      <c r="E3464" s="90" t="s">
        <v>14795</v>
      </c>
      <c r="F3464" s="91">
        <v>47575</v>
      </c>
      <c r="G3464" s="92">
        <v>74853</v>
      </c>
      <c r="H3464" s="90" t="s">
        <v>11</v>
      </c>
      <c r="I34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4" s="90" t="s">
        <v>4444</v>
      </c>
    </row>
    <row r="3465" spans="1:11">
      <c r="A3465" s="90" t="s">
        <v>9031</v>
      </c>
      <c r="B3465" s="90" t="s">
        <v>9032</v>
      </c>
      <c r="C3465" s="90" t="s">
        <v>6</v>
      </c>
      <c r="D3465" s="90" t="str">
        <f>VLOOKUP(Tabela1[[#This Row],[Origem]],'Perguntas 1 a 24'!$J$28:$K$34,2,FALSE)</f>
        <v>Nordeste</v>
      </c>
      <c r="E3465" s="90" t="s">
        <v>14796</v>
      </c>
      <c r="F3465" s="91">
        <v>47575</v>
      </c>
      <c r="G3465" s="92">
        <v>91308</v>
      </c>
      <c r="H3465" s="90" t="s">
        <v>9</v>
      </c>
      <c r="I34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5" s="90" t="s">
        <v>5445</v>
      </c>
    </row>
    <row r="3466" spans="1:11">
      <c r="A3466" s="90" t="s">
        <v>5560</v>
      </c>
      <c r="B3466" s="90" t="s">
        <v>5561</v>
      </c>
      <c r="C3466" s="90" t="s">
        <v>8</v>
      </c>
      <c r="D3466" s="90" t="str">
        <f>VLOOKUP(Tabela1[[#This Row],[Origem]],'Perguntas 1 a 24'!$J$28:$K$34,2,FALSE)</f>
        <v>Nordeste</v>
      </c>
      <c r="E3466" s="90" t="s">
        <v>14797</v>
      </c>
      <c r="F3466" s="91">
        <v>47577</v>
      </c>
      <c r="G3466" s="92">
        <v>47190</v>
      </c>
      <c r="H3466" s="90" t="s">
        <v>7</v>
      </c>
      <c r="I34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6" s="90" t="s">
        <v>6445</v>
      </c>
    </row>
    <row r="3467" spans="1:11">
      <c r="A3467" s="90" t="s">
        <v>4219</v>
      </c>
      <c r="B3467" s="90" t="s">
        <v>4220</v>
      </c>
      <c r="C3467" s="90" t="s">
        <v>16</v>
      </c>
      <c r="D3467" s="90" t="str">
        <f>VLOOKUP(Tabela1[[#This Row],[Origem]],'Perguntas 1 a 24'!$J$28:$K$34,2,FALSE)</f>
        <v>Sudeste</v>
      </c>
      <c r="E3467" s="90" t="s">
        <v>14798</v>
      </c>
      <c r="F3467" s="91">
        <v>47578</v>
      </c>
      <c r="G3467" s="92">
        <v>40228</v>
      </c>
      <c r="H3467" s="90" t="s">
        <v>7</v>
      </c>
      <c r="I34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7" s="90" t="s">
        <v>7961</v>
      </c>
    </row>
    <row r="3468" spans="1:11">
      <c r="A3468" s="90" t="s">
        <v>11123</v>
      </c>
      <c r="B3468" s="90" t="s">
        <v>11124</v>
      </c>
      <c r="C3468" s="90" t="s">
        <v>13</v>
      </c>
      <c r="D3468" s="90" t="str">
        <f>VLOOKUP(Tabela1[[#This Row],[Origem]],'Perguntas 1 a 24'!$J$28:$K$34,2,FALSE)</f>
        <v>Sudeste</v>
      </c>
      <c r="E3468" s="90" t="s">
        <v>14799</v>
      </c>
      <c r="F3468" s="91">
        <v>47578</v>
      </c>
      <c r="G3468" s="92">
        <v>97505</v>
      </c>
      <c r="H3468" s="90" t="s">
        <v>14</v>
      </c>
      <c r="I34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8" s="90" t="s">
        <v>8527</v>
      </c>
    </row>
    <row r="3469" spans="1:11">
      <c r="A3469" s="90" t="s">
        <v>7270</v>
      </c>
      <c r="B3469" s="90" t="s">
        <v>7271</v>
      </c>
      <c r="C3469" s="90" t="s">
        <v>13</v>
      </c>
      <c r="D3469" s="90" t="str">
        <f>VLOOKUP(Tabela1[[#This Row],[Origem]],'Perguntas 1 a 24'!$J$28:$K$34,2,FALSE)</f>
        <v>Sudeste</v>
      </c>
      <c r="E3469" s="90" t="s">
        <v>14800</v>
      </c>
      <c r="F3469" s="91">
        <v>47579</v>
      </c>
      <c r="G3469" s="92">
        <v>23995</v>
      </c>
      <c r="H3469" s="90" t="s">
        <v>11</v>
      </c>
      <c r="I34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69" s="90" t="s">
        <v>7099</v>
      </c>
    </row>
    <row r="3470" spans="1:11">
      <c r="A3470" s="90" t="s">
        <v>10253</v>
      </c>
      <c r="B3470" s="90" t="s">
        <v>10254</v>
      </c>
      <c r="C3470" s="90" t="s">
        <v>16</v>
      </c>
      <c r="D3470" s="90" t="str">
        <f>VLOOKUP(Tabela1[[#This Row],[Origem]],'Perguntas 1 a 24'!$J$28:$K$34,2,FALSE)</f>
        <v>Sudeste</v>
      </c>
      <c r="E3470" s="90" t="s">
        <v>14801</v>
      </c>
      <c r="F3470" s="91">
        <v>47579</v>
      </c>
      <c r="G3470" s="92">
        <v>117229</v>
      </c>
      <c r="H3470" s="90" t="s">
        <v>11</v>
      </c>
      <c r="I34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0" s="90" t="s">
        <v>8237</v>
      </c>
    </row>
    <row r="3471" spans="1:11">
      <c r="A3471" s="90" t="s">
        <v>3722</v>
      </c>
      <c r="B3471" s="90" t="s">
        <v>3723</v>
      </c>
      <c r="C3471" s="90" t="s">
        <v>6</v>
      </c>
      <c r="D3471" s="90" t="str">
        <f>VLOOKUP(Tabela1[[#This Row],[Origem]],'Perguntas 1 a 24'!$J$28:$K$34,2,FALSE)</f>
        <v>Nordeste</v>
      </c>
      <c r="E3471" s="90" t="s">
        <v>14802</v>
      </c>
      <c r="F3471" s="91">
        <v>47580</v>
      </c>
      <c r="G3471" s="92">
        <v>59586</v>
      </c>
      <c r="H3471" s="90" t="s">
        <v>7</v>
      </c>
      <c r="I34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1" s="90" t="s">
        <v>7711</v>
      </c>
    </row>
    <row r="3472" spans="1:11">
      <c r="A3472" s="90" t="s">
        <v>3722</v>
      </c>
      <c r="B3472" s="90" t="s">
        <v>3723</v>
      </c>
      <c r="C3472" s="90" t="s">
        <v>6</v>
      </c>
      <c r="D3472" s="90" t="str">
        <f>VLOOKUP(Tabela1[[#This Row],[Origem]],'Perguntas 1 a 24'!$J$28:$K$34,2,FALSE)</f>
        <v>Nordeste</v>
      </c>
      <c r="E3472" s="90" t="s">
        <v>14802</v>
      </c>
      <c r="F3472" s="91">
        <v>47580</v>
      </c>
      <c r="G3472" s="92">
        <v>59586</v>
      </c>
      <c r="H3472" s="90" t="s">
        <v>7</v>
      </c>
      <c r="I34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2" s="90" t="s">
        <v>8075</v>
      </c>
    </row>
    <row r="3473" spans="1:11">
      <c r="A3473" s="90" t="s">
        <v>3722</v>
      </c>
      <c r="B3473" s="90" t="s">
        <v>3723</v>
      </c>
      <c r="C3473" s="90" t="s">
        <v>6</v>
      </c>
      <c r="D3473" s="90" t="str">
        <f>VLOOKUP(Tabela1[[#This Row],[Origem]],'Perguntas 1 a 24'!$J$28:$K$34,2,FALSE)</f>
        <v>Nordeste</v>
      </c>
      <c r="E3473" s="90" t="s">
        <v>14802</v>
      </c>
      <c r="F3473" s="91">
        <v>47580</v>
      </c>
      <c r="G3473" s="92">
        <v>59586</v>
      </c>
      <c r="H3473" s="90" t="s">
        <v>7</v>
      </c>
      <c r="I34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3" s="90" t="s">
        <v>4460</v>
      </c>
    </row>
    <row r="3474" spans="1:11">
      <c r="A3474" s="90" t="s">
        <v>3722</v>
      </c>
      <c r="B3474" s="90" t="s">
        <v>3723</v>
      </c>
      <c r="C3474" s="90" t="s">
        <v>6</v>
      </c>
      <c r="D3474" s="90" t="str">
        <f>VLOOKUP(Tabela1[[#This Row],[Origem]],'Perguntas 1 a 24'!$J$28:$K$34,2,FALSE)</f>
        <v>Nordeste</v>
      </c>
      <c r="E3474" s="90" t="s">
        <v>14802</v>
      </c>
      <c r="F3474" s="91">
        <v>47580</v>
      </c>
      <c r="G3474" s="92">
        <v>59586</v>
      </c>
      <c r="H3474" s="90" t="s">
        <v>7</v>
      </c>
      <c r="I34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4" s="90" t="s">
        <v>7159</v>
      </c>
    </row>
    <row r="3475" spans="1:11">
      <c r="A3475" s="90" t="s">
        <v>3722</v>
      </c>
      <c r="B3475" s="90" t="s">
        <v>3723</v>
      </c>
      <c r="C3475" s="90" t="s">
        <v>6</v>
      </c>
      <c r="D3475" s="90" t="str">
        <f>VLOOKUP(Tabela1[[#This Row],[Origem]],'Perguntas 1 a 24'!$J$28:$K$34,2,FALSE)</f>
        <v>Nordeste</v>
      </c>
      <c r="E3475" s="90" t="s">
        <v>14802</v>
      </c>
      <c r="F3475" s="91">
        <v>47580</v>
      </c>
      <c r="G3475" s="92">
        <v>59586</v>
      </c>
      <c r="H3475" s="90" t="s">
        <v>7</v>
      </c>
      <c r="I34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5" s="90" t="s">
        <v>9896</v>
      </c>
    </row>
    <row r="3476" spans="1:11">
      <c r="A3476" s="90" t="s">
        <v>3722</v>
      </c>
      <c r="B3476" s="90" t="s">
        <v>3723</v>
      </c>
      <c r="C3476" s="90" t="s">
        <v>6</v>
      </c>
      <c r="D3476" s="90" t="str">
        <f>VLOOKUP(Tabela1[[#This Row],[Origem]],'Perguntas 1 a 24'!$J$28:$K$34,2,FALSE)</f>
        <v>Nordeste</v>
      </c>
      <c r="E3476" s="90" t="s">
        <v>14802</v>
      </c>
      <c r="F3476" s="91">
        <v>47580</v>
      </c>
      <c r="G3476" s="92">
        <v>59586</v>
      </c>
      <c r="H3476" s="90" t="s">
        <v>7</v>
      </c>
      <c r="I34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6" s="90" t="s">
        <v>4801</v>
      </c>
    </row>
    <row r="3477" spans="1:11">
      <c r="A3477" s="90" t="s">
        <v>4443</v>
      </c>
      <c r="B3477" s="90" t="s">
        <v>4444</v>
      </c>
      <c r="C3477" s="90" t="s">
        <v>15</v>
      </c>
      <c r="D3477" s="90" t="str">
        <f>VLOOKUP(Tabela1[[#This Row],[Origem]],'Perguntas 1 a 24'!$J$28:$K$34,2,FALSE)</f>
        <v>Sudeste</v>
      </c>
      <c r="E3477" s="90" t="s">
        <v>14803</v>
      </c>
      <c r="F3477" s="91">
        <v>47582</v>
      </c>
      <c r="G3477" s="92">
        <v>115843</v>
      </c>
      <c r="H3477" s="90" t="s">
        <v>11</v>
      </c>
      <c r="I34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7" s="90" t="s">
        <v>4719</v>
      </c>
    </row>
    <row r="3478" spans="1:11">
      <c r="A3478" s="90" t="s">
        <v>5444</v>
      </c>
      <c r="B3478" s="90" t="s">
        <v>5445</v>
      </c>
      <c r="C3478" s="90" t="s">
        <v>8</v>
      </c>
      <c r="D3478" s="90" t="str">
        <f>VLOOKUP(Tabela1[[#This Row],[Origem]],'Perguntas 1 a 24'!$J$28:$K$34,2,FALSE)</f>
        <v>Nordeste</v>
      </c>
      <c r="E3478" s="90" t="s">
        <v>14804</v>
      </c>
      <c r="F3478" s="91">
        <v>47582</v>
      </c>
      <c r="G3478" s="92">
        <v>82871</v>
      </c>
      <c r="H3478" s="90" t="s">
        <v>14</v>
      </c>
      <c r="I34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8" s="90" t="s">
        <v>5329</v>
      </c>
    </row>
    <row r="3479" spans="1:11">
      <c r="A3479" s="90" t="s">
        <v>6444</v>
      </c>
      <c r="B3479" s="90" t="s">
        <v>6445</v>
      </c>
      <c r="C3479" s="90" t="s">
        <v>8</v>
      </c>
      <c r="D3479" s="90" t="str">
        <f>VLOOKUP(Tabela1[[#This Row],[Origem]],'Perguntas 1 a 24'!$J$28:$K$34,2,FALSE)</f>
        <v>Nordeste</v>
      </c>
      <c r="E3479" s="90" t="s">
        <v>14805</v>
      </c>
      <c r="F3479" s="91">
        <v>47582</v>
      </c>
      <c r="G3479" s="92">
        <v>106425</v>
      </c>
      <c r="H3479" s="90" t="s">
        <v>7</v>
      </c>
      <c r="I34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79" s="90" t="s">
        <v>5513</v>
      </c>
    </row>
    <row r="3480" spans="1:11">
      <c r="A3480" s="90" t="s">
        <v>7960</v>
      </c>
      <c r="B3480" s="90" t="s">
        <v>7961</v>
      </c>
      <c r="C3480" s="90" t="s">
        <v>13</v>
      </c>
      <c r="D3480" s="90" t="str">
        <f>VLOOKUP(Tabela1[[#This Row],[Origem]],'Perguntas 1 a 24'!$J$28:$K$34,2,FALSE)</f>
        <v>Sudeste</v>
      </c>
      <c r="E3480" s="90" t="s">
        <v>14806</v>
      </c>
      <c r="F3480" s="91">
        <v>47582</v>
      </c>
      <c r="G3480" s="92">
        <v>100353</v>
      </c>
      <c r="H3480" s="90" t="s">
        <v>9</v>
      </c>
      <c r="I34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0" s="90" t="s">
        <v>7655</v>
      </c>
    </row>
    <row r="3481" spans="1:11">
      <c r="A3481" s="90" t="s">
        <v>8526</v>
      </c>
      <c r="B3481" s="90" t="s">
        <v>8527</v>
      </c>
      <c r="C3481" s="90" t="s">
        <v>6</v>
      </c>
      <c r="D3481" s="90" t="str">
        <f>VLOOKUP(Tabela1[[#This Row],[Origem]],'Perguntas 1 a 24'!$J$28:$K$34,2,FALSE)</f>
        <v>Nordeste</v>
      </c>
      <c r="E3481" s="90" t="s">
        <v>14807</v>
      </c>
      <c r="F3481" s="91">
        <v>47583</v>
      </c>
      <c r="G3481" s="92">
        <v>76219</v>
      </c>
      <c r="H3481" s="90" t="s">
        <v>9</v>
      </c>
      <c r="I34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1" s="90" t="s">
        <v>7867</v>
      </c>
    </row>
    <row r="3482" spans="1:11">
      <c r="A3482" s="90" t="s">
        <v>7098</v>
      </c>
      <c r="B3482" s="90" t="s">
        <v>7099</v>
      </c>
      <c r="C3482" s="90" t="s">
        <v>15</v>
      </c>
      <c r="D3482" s="90" t="str">
        <f>VLOOKUP(Tabela1[[#This Row],[Origem]],'Perguntas 1 a 24'!$J$28:$K$34,2,FALSE)</f>
        <v>Sudeste</v>
      </c>
      <c r="E3482" s="90" t="s">
        <v>14808</v>
      </c>
      <c r="F3482" s="91">
        <v>47584</v>
      </c>
      <c r="G3482" s="92">
        <v>118431</v>
      </c>
      <c r="H3482" s="90" t="s">
        <v>7</v>
      </c>
      <c r="I34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2" s="90" t="s">
        <v>11196</v>
      </c>
    </row>
    <row r="3483" spans="1:11">
      <c r="A3483" s="90" t="s">
        <v>8236</v>
      </c>
      <c r="B3483" s="90" t="s">
        <v>8237</v>
      </c>
      <c r="C3483" s="90" t="s">
        <v>6</v>
      </c>
      <c r="D3483" s="90" t="str">
        <f>VLOOKUP(Tabela1[[#This Row],[Origem]],'Perguntas 1 a 24'!$J$28:$K$34,2,FALSE)</f>
        <v>Nordeste</v>
      </c>
      <c r="E3483" s="90" t="s">
        <v>14809</v>
      </c>
      <c r="F3483" s="91">
        <v>47586</v>
      </c>
      <c r="G3483" s="92">
        <v>104391</v>
      </c>
      <c r="H3483" s="90" t="s">
        <v>7</v>
      </c>
      <c r="I34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3" s="90" t="s">
        <v>4330</v>
      </c>
    </row>
    <row r="3484" spans="1:11">
      <c r="A3484" s="90" t="s">
        <v>7710</v>
      </c>
      <c r="B3484" s="90" t="s">
        <v>7711</v>
      </c>
      <c r="C3484" s="90" t="s">
        <v>10</v>
      </c>
      <c r="D3484" s="90" t="str">
        <f>VLOOKUP(Tabela1[[#This Row],[Origem]],'Perguntas 1 a 24'!$J$28:$K$34,2,FALSE)</f>
        <v>Centro-Oeste</v>
      </c>
      <c r="E3484" s="90" t="s">
        <v>14810</v>
      </c>
      <c r="F3484" s="91">
        <v>47587</v>
      </c>
      <c r="G3484" s="92">
        <v>80779</v>
      </c>
      <c r="H3484" s="90" t="s">
        <v>9</v>
      </c>
      <c r="I34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4" s="90" t="s">
        <v>5187</v>
      </c>
    </row>
    <row r="3485" spans="1:11">
      <c r="A3485" s="90" t="s">
        <v>8074</v>
      </c>
      <c r="B3485" s="90" t="s">
        <v>8075</v>
      </c>
      <c r="C3485" s="90" t="s">
        <v>12</v>
      </c>
      <c r="D3485" s="90" t="str">
        <f>VLOOKUP(Tabela1[[#This Row],[Origem]],'Perguntas 1 a 24'!$J$28:$K$34,2,FALSE)</f>
        <v>Sudeste</v>
      </c>
      <c r="E3485" s="90" t="s">
        <v>14811</v>
      </c>
      <c r="F3485" s="91">
        <v>47587</v>
      </c>
      <c r="G3485" s="92">
        <v>27290</v>
      </c>
      <c r="H3485" s="90" t="s">
        <v>14</v>
      </c>
      <c r="I34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5" s="90" t="s">
        <v>5867</v>
      </c>
    </row>
    <row r="3486" spans="1:11">
      <c r="A3486" s="90" t="s">
        <v>4459</v>
      </c>
      <c r="B3486" s="90" t="s">
        <v>4460</v>
      </c>
      <c r="C3486" s="90" t="s">
        <v>12</v>
      </c>
      <c r="D3486" s="90" t="str">
        <f>VLOOKUP(Tabela1[[#This Row],[Origem]],'Perguntas 1 a 24'!$J$28:$K$34,2,FALSE)</f>
        <v>Sudeste</v>
      </c>
      <c r="E3486" s="90" t="s">
        <v>14812</v>
      </c>
      <c r="F3486" s="91">
        <v>47588</v>
      </c>
      <c r="G3486" s="92">
        <v>71810</v>
      </c>
      <c r="H3486" s="90" t="s">
        <v>14</v>
      </c>
      <c r="I34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6" s="90" t="s">
        <v>6115</v>
      </c>
    </row>
    <row r="3487" spans="1:11">
      <c r="A3487" s="90" t="s">
        <v>7158</v>
      </c>
      <c r="B3487" s="90" t="s">
        <v>7159</v>
      </c>
      <c r="C3487" s="90" t="s">
        <v>15</v>
      </c>
      <c r="D3487" s="90" t="str">
        <f>VLOOKUP(Tabela1[[#This Row],[Origem]],'Perguntas 1 a 24'!$J$28:$K$34,2,FALSE)</f>
        <v>Sudeste</v>
      </c>
      <c r="E3487" s="90" t="s">
        <v>14813</v>
      </c>
      <c r="F3487" s="91">
        <v>47589</v>
      </c>
      <c r="G3487" s="92">
        <v>21273</v>
      </c>
      <c r="H3487" s="90" t="s">
        <v>7</v>
      </c>
      <c r="I34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7" s="90" t="s">
        <v>7341</v>
      </c>
    </row>
    <row r="3488" spans="1:11">
      <c r="A3488" s="90" t="s">
        <v>9895</v>
      </c>
      <c r="B3488" s="90" t="s">
        <v>9896</v>
      </c>
      <c r="C3488" s="90" t="s">
        <v>10</v>
      </c>
      <c r="D3488" s="90" t="str">
        <f>VLOOKUP(Tabela1[[#This Row],[Origem]],'Perguntas 1 a 24'!$J$28:$K$34,2,FALSE)</f>
        <v>Centro-Oeste</v>
      </c>
      <c r="E3488" s="90" t="s">
        <v>14814</v>
      </c>
      <c r="F3488" s="91">
        <v>47590</v>
      </c>
      <c r="G3488" s="92">
        <v>100724</v>
      </c>
      <c r="H3488" s="90" t="s">
        <v>7</v>
      </c>
      <c r="I34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8" s="90" t="s">
        <v>4917</v>
      </c>
    </row>
    <row r="3489" spans="1:11">
      <c r="A3489" s="90" t="s">
        <v>4800</v>
      </c>
      <c r="B3489" s="90" t="s">
        <v>4801</v>
      </c>
      <c r="C3489" s="90" t="s">
        <v>16</v>
      </c>
      <c r="D3489" s="90" t="str">
        <f>VLOOKUP(Tabela1[[#This Row],[Origem]],'Perguntas 1 a 24'!$J$28:$K$34,2,FALSE)</f>
        <v>Sudeste</v>
      </c>
      <c r="E3489" s="90" t="s">
        <v>14815</v>
      </c>
      <c r="F3489" s="91">
        <v>47591</v>
      </c>
      <c r="G3489" s="92">
        <v>96662</v>
      </c>
      <c r="H3489" s="90" t="s">
        <v>7</v>
      </c>
      <c r="I34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89" s="90" t="s">
        <v>8251</v>
      </c>
    </row>
    <row r="3490" spans="1:11">
      <c r="A3490" s="90" t="s">
        <v>4718</v>
      </c>
      <c r="B3490" s="90" t="s">
        <v>4719</v>
      </c>
      <c r="C3490" s="90" t="s">
        <v>15</v>
      </c>
      <c r="D3490" s="90" t="str">
        <f>VLOOKUP(Tabela1[[#This Row],[Origem]],'Perguntas 1 a 24'!$J$28:$K$34,2,FALSE)</f>
        <v>Sudeste</v>
      </c>
      <c r="E3490" s="90" t="s">
        <v>14816</v>
      </c>
      <c r="F3490" s="91">
        <v>47592</v>
      </c>
      <c r="G3490" s="92">
        <v>33106</v>
      </c>
      <c r="H3490" s="90" t="s">
        <v>11</v>
      </c>
      <c r="I34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0" s="90" t="s">
        <v>9102</v>
      </c>
    </row>
    <row r="3491" spans="1:11">
      <c r="A3491" s="90" t="s">
        <v>5328</v>
      </c>
      <c r="B3491" s="90" t="s">
        <v>5329</v>
      </c>
      <c r="C3491" s="90" t="s">
        <v>6</v>
      </c>
      <c r="D3491" s="90" t="str">
        <f>VLOOKUP(Tabela1[[#This Row],[Origem]],'Perguntas 1 a 24'!$J$28:$K$34,2,FALSE)</f>
        <v>Nordeste</v>
      </c>
      <c r="E3491" s="90" t="s">
        <v>14817</v>
      </c>
      <c r="F3491" s="91">
        <v>47592</v>
      </c>
      <c r="G3491" s="92">
        <v>111778</v>
      </c>
      <c r="H3491" s="90" t="s">
        <v>11</v>
      </c>
      <c r="I34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1" s="90" t="s">
        <v>9282</v>
      </c>
    </row>
    <row r="3492" spans="1:11">
      <c r="A3492" s="90" t="s">
        <v>5512</v>
      </c>
      <c r="B3492" s="90" t="s">
        <v>5513</v>
      </c>
      <c r="C3492" s="90" t="s">
        <v>10</v>
      </c>
      <c r="D3492" s="90" t="str">
        <f>VLOOKUP(Tabela1[[#This Row],[Origem]],'Perguntas 1 a 24'!$J$28:$K$34,2,FALSE)</f>
        <v>Centro-Oeste</v>
      </c>
      <c r="E3492" s="90" t="s">
        <v>14818</v>
      </c>
      <c r="F3492" s="91">
        <v>47592</v>
      </c>
      <c r="G3492" s="92">
        <v>53393</v>
      </c>
      <c r="H3492" s="90" t="s">
        <v>9</v>
      </c>
      <c r="I34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2" s="90" t="s">
        <v>10924</v>
      </c>
    </row>
    <row r="3493" spans="1:11">
      <c r="A3493" s="90" t="s">
        <v>7654</v>
      </c>
      <c r="B3493" s="90" t="s">
        <v>7655</v>
      </c>
      <c r="C3493" s="90" t="s">
        <v>6</v>
      </c>
      <c r="D3493" s="90" t="str">
        <f>VLOOKUP(Tabela1[[#This Row],[Origem]],'Perguntas 1 a 24'!$J$28:$K$34,2,FALSE)</f>
        <v>Nordeste</v>
      </c>
      <c r="E3493" s="90" t="s">
        <v>14819</v>
      </c>
      <c r="F3493" s="91">
        <v>47592</v>
      </c>
      <c r="G3493" s="92">
        <v>27411</v>
      </c>
      <c r="H3493" s="90" t="s">
        <v>9</v>
      </c>
      <c r="I34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3" s="90" t="s">
        <v>7913</v>
      </c>
    </row>
    <row r="3494" spans="1:11">
      <c r="A3494" s="90" t="s">
        <v>7866</v>
      </c>
      <c r="B3494" s="90" t="s">
        <v>7867</v>
      </c>
      <c r="C3494" s="90" t="s">
        <v>8</v>
      </c>
      <c r="D3494" s="90" t="str">
        <f>VLOOKUP(Tabela1[[#This Row],[Origem]],'Perguntas 1 a 24'!$J$28:$K$34,2,FALSE)</f>
        <v>Nordeste</v>
      </c>
      <c r="E3494" s="90" t="s">
        <v>14820</v>
      </c>
      <c r="F3494" s="91">
        <v>47594</v>
      </c>
      <c r="G3494" s="92">
        <v>56918</v>
      </c>
      <c r="H3494" s="90" t="s">
        <v>9</v>
      </c>
      <c r="I34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4" s="90" t="s">
        <v>4192</v>
      </c>
    </row>
    <row r="3495" spans="1:11">
      <c r="A3495" s="90" t="s">
        <v>11195</v>
      </c>
      <c r="B3495" s="90" t="s">
        <v>11196</v>
      </c>
      <c r="C3495" s="90" t="s">
        <v>12</v>
      </c>
      <c r="D3495" s="90" t="str">
        <f>VLOOKUP(Tabela1[[#This Row],[Origem]],'Perguntas 1 a 24'!$J$28:$K$34,2,FALSE)</f>
        <v>Sudeste</v>
      </c>
      <c r="E3495" s="90" t="s">
        <v>14821</v>
      </c>
      <c r="F3495" s="91">
        <v>47595</v>
      </c>
      <c r="G3495" s="92">
        <v>41411</v>
      </c>
      <c r="H3495" s="90" t="s">
        <v>9</v>
      </c>
      <c r="I34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5" s="90" t="s">
        <v>7583</v>
      </c>
    </row>
    <row r="3496" spans="1:11">
      <c r="A3496" s="90" t="s">
        <v>4329</v>
      </c>
      <c r="B3496" s="90" t="s">
        <v>4330</v>
      </c>
      <c r="C3496" s="90" t="s">
        <v>10</v>
      </c>
      <c r="D3496" s="90" t="str">
        <f>VLOOKUP(Tabela1[[#This Row],[Origem]],'Perguntas 1 a 24'!$J$28:$K$34,2,FALSE)</f>
        <v>Centro-Oeste</v>
      </c>
      <c r="E3496" s="90" t="s">
        <v>14822</v>
      </c>
      <c r="F3496" s="91">
        <v>47596</v>
      </c>
      <c r="G3496" s="92">
        <v>111343</v>
      </c>
      <c r="H3496" s="90" t="s">
        <v>14</v>
      </c>
      <c r="I34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6" s="90" t="s">
        <v>10516</v>
      </c>
    </row>
    <row r="3497" spans="1:11">
      <c r="A3497" s="90" t="s">
        <v>5186</v>
      </c>
      <c r="B3497" s="90" t="s">
        <v>5187</v>
      </c>
      <c r="C3497" s="90" t="s">
        <v>12</v>
      </c>
      <c r="D3497" s="90" t="str">
        <f>VLOOKUP(Tabela1[[#This Row],[Origem]],'Perguntas 1 a 24'!$J$28:$K$34,2,FALSE)</f>
        <v>Sudeste</v>
      </c>
      <c r="E3497" s="90" t="s">
        <v>14823</v>
      </c>
      <c r="F3497" s="91">
        <v>47596</v>
      </c>
      <c r="G3497" s="92">
        <v>69877</v>
      </c>
      <c r="H3497" s="90" t="s">
        <v>11</v>
      </c>
      <c r="I34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7" s="90" t="s">
        <v>6871</v>
      </c>
    </row>
    <row r="3498" spans="1:11">
      <c r="A3498" s="90" t="s">
        <v>5866</v>
      </c>
      <c r="B3498" s="90" t="s">
        <v>5867</v>
      </c>
      <c r="C3498" s="90" t="s">
        <v>6</v>
      </c>
      <c r="D3498" s="90" t="str">
        <f>VLOOKUP(Tabela1[[#This Row],[Origem]],'Perguntas 1 a 24'!$J$28:$K$34,2,FALSE)</f>
        <v>Nordeste</v>
      </c>
      <c r="E3498" s="90" t="s">
        <v>14824</v>
      </c>
      <c r="F3498" s="91">
        <v>47598</v>
      </c>
      <c r="G3498" s="92">
        <v>111826</v>
      </c>
      <c r="H3498" s="90" t="s">
        <v>9</v>
      </c>
      <c r="I34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8" s="90" t="s">
        <v>7397</v>
      </c>
    </row>
    <row r="3499" spans="1:11">
      <c r="A3499" s="90" t="s">
        <v>6114</v>
      </c>
      <c r="B3499" s="90" t="s">
        <v>6115</v>
      </c>
      <c r="C3499" s="90" t="s">
        <v>15</v>
      </c>
      <c r="D3499" s="90" t="str">
        <f>VLOOKUP(Tabela1[[#This Row],[Origem]],'Perguntas 1 a 24'!$J$28:$K$34,2,FALSE)</f>
        <v>Sudeste</v>
      </c>
      <c r="E3499" s="90" t="s">
        <v>14825</v>
      </c>
      <c r="F3499" s="91">
        <v>47598</v>
      </c>
      <c r="G3499" s="92">
        <v>42831</v>
      </c>
      <c r="H3499" s="90" t="s">
        <v>14</v>
      </c>
      <c r="I34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499" s="90" t="s">
        <v>10164</v>
      </c>
    </row>
    <row r="3500" spans="1:11">
      <c r="A3500" s="90" t="s">
        <v>7340</v>
      </c>
      <c r="B3500" s="90" t="s">
        <v>7341</v>
      </c>
      <c r="C3500" s="90" t="s">
        <v>6</v>
      </c>
      <c r="D3500" s="90" t="str">
        <f>VLOOKUP(Tabela1[[#This Row],[Origem]],'Perguntas 1 a 24'!$J$28:$K$34,2,FALSE)</f>
        <v>Nordeste</v>
      </c>
      <c r="E3500" s="90" t="s">
        <v>14826</v>
      </c>
      <c r="F3500" s="91">
        <v>47598</v>
      </c>
      <c r="G3500" s="92">
        <v>59836</v>
      </c>
      <c r="H3500" s="90" t="s">
        <v>14</v>
      </c>
      <c r="I35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0" s="90" t="s">
        <v>6073</v>
      </c>
    </row>
    <row r="3501" spans="1:11">
      <c r="A3501" s="90" t="s">
        <v>4916</v>
      </c>
      <c r="B3501" s="90" t="s">
        <v>4917</v>
      </c>
      <c r="C3501" s="90" t="s">
        <v>12</v>
      </c>
      <c r="D3501" s="90" t="str">
        <f>VLOOKUP(Tabela1[[#This Row],[Origem]],'Perguntas 1 a 24'!$J$28:$K$34,2,FALSE)</f>
        <v>Sudeste</v>
      </c>
      <c r="E3501" s="90" t="s">
        <v>14827</v>
      </c>
      <c r="F3501" s="91">
        <v>47600</v>
      </c>
      <c r="G3501" s="92">
        <v>94459</v>
      </c>
      <c r="H3501" s="90" t="s">
        <v>11</v>
      </c>
      <c r="I35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1" s="90" t="s">
        <v>10268</v>
      </c>
    </row>
    <row r="3502" spans="1:11">
      <c r="A3502" s="90" t="s">
        <v>8250</v>
      </c>
      <c r="B3502" s="90" t="s">
        <v>8251</v>
      </c>
      <c r="C3502" s="90" t="s">
        <v>16</v>
      </c>
      <c r="D3502" s="90" t="str">
        <f>VLOOKUP(Tabela1[[#This Row],[Origem]],'Perguntas 1 a 24'!$J$28:$K$34,2,FALSE)</f>
        <v>Sudeste</v>
      </c>
      <c r="E3502" s="90" t="s">
        <v>14828</v>
      </c>
      <c r="F3502" s="91">
        <v>47600</v>
      </c>
      <c r="G3502" s="92">
        <v>95102</v>
      </c>
      <c r="H3502" s="90" t="s">
        <v>11</v>
      </c>
      <c r="I35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2" s="90" t="s">
        <v>5737</v>
      </c>
    </row>
    <row r="3503" spans="1:11">
      <c r="A3503" s="90" t="s">
        <v>9101</v>
      </c>
      <c r="B3503" s="90" t="s">
        <v>9102</v>
      </c>
      <c r="C3503" s="90" t="s">
        <v>10</v>
      </c>
      <c r="D3503" s="90" t="str">
        <f>VLOOKUP(Tabela1[[#This Row],[Origem]],'Perguntas 1 a 24'!$J$28:$K$34,2,FALSE)</f>
        <v>Centro-Oeste</v>
      </c>
      <c r="E3503" s="90" t="s">
        <v>14829</v>
      </c>
      <c r="F3503" s="91">
        <v>47600</v>
      </c>
      <c r="G3503" s="92">
        <v>105322</v>
      </c>
      <c r="H3503" s="90" t="s">
        <v>7</v>
      </c>
      <c r="I35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3" s="90" t="s">
        <v>6963</v>
      </c>
    </row>
    <row r="3504" spans="1:11">
      <c r="A3504" s="90" t="s">
        <v>9281</v>
      </c>
      <c r="B3504" s="90" t="s">
        <v>9282</v>
      </c>
      <c r="C3504" s="90" t="s">
        <v>6</v>
      </c>
      <c r="D3504" s="90" t="str">
        <f>VLOOKUP(Tabela1[[#This Row],[Origem]],'Perguntas 1 a 24'!$J$28:$K$34,2,FALSE)</f>
        <v>Nordeste</v>
      </c>
      <c r="E3504" s="90" t="s">
        <v>14830</v>
      </c>
      <c r="F3504" s="91">
        <v>47600</v>
      </c>
      <c r="G3504" s="92">
        <v>81641</v>
      </c>
      <c r="H3504" s="90" t="s">
        <v>7</v>
      </c>
      <c r="I35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4" s="90" t="s">
        <v>10112</v>
      </c>
    </row>
    <row r="3505" spans="1:11">
      <c r="A3505" s="90" t="s">
        <v>10923</v>
      </c>
      <c r="B3505" s="90" t="s">
        <v>10924</v>
      </c>
      <c r="C3505" s="90" t="s">
        <v>13</v>
      </c>
      <c r="D3505" s="90" t="str">
        <f>VLOOKUP(Tabela1[[#This Row],[Origem]],'Perguntas 1 a 24'!$J$28:$K$34,2,FALSE)</f>
        <v>Sudeste</v>
      </c>
      <c r="E3505" s="90" t="s">
        <v>14831</v>
      </c>
      <c r="F3505" s="91">
        <v>47600</v>
      </c>
      <c r="G3505" s="92">
        <v>106388</v>
      </c>
      <c r="H3505" s="90" t="s">
        <v>11</v>
      </c>
      <c r="I35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5" s="90" t="s">
        <v>4845</v>
      </c>
    </row>
    <row r="3506" spans="1:11">
      <c r="A3506" s="90" t="s">
        <v>7912</v>
      </c>
      <c r="B3506" s="90" t="s">
        <v>7913</v>
      </c>
      <c r="C3506" s="90" t="s">
        <v>15</v>
      </c>
      <c r="D3506" s="90" t="str">
        <f>VLOOKUP(Tabela1[[#This Row],[Origem]],'Perguntas 1 a 24'!$J$28:$K$34,2,FALSE)</f>
        <v>Sudeste</v>
      </c>
      <c r="E3506" s="90" t="s">
        <v>14832</v>
      </c>
      <c r="F3506" s="91">
        <v>47602</v>
      </c>
      <c r="G3506" s="92">
        <v>63935</v>
      </c>
      <c r="H3506" s="90" t="s">
        <v>11</v>
      </c>
      <c r="I35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6" s="90" t="s">
        <v>5647</v>
      </c>
    </row>
    <row r="3507" spans="1:11">
      <c r="A3507" s="90" t="s">
        <v>4191</v>
      </c>
      <c r="B3507" s="90" t="s">
        <v>4192</v>
      </c>
      <c r="C3507" s="90" t="s">
        <v>13</v>
      </c>
      <c r="D3507" s="90" t="str">
        <f>VLOOKUP(Tabela1[[#This Row],[Origem]],'Perguntas 1 a 24'!$J$28:$K$34,2,FALSE)</f>
        <v>Sudeste</v>
      </c>
      <c r="E3507" s="90" t="s">
        <v>14833</v>
      </c>
      <c r="F3507" s="91">
        <v>47603</v>
      </c>
      <c r="G3507" s="92">
        <v>61502</v>
      </c>
      <c r="H3507" s="90" t="s">
        <v>14</v>
      </c>
      <c r="I35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7" s="90" t="s">
        <v>6791</v>
      </c>
    </row>
    <row r="3508" spans="1:11">
      <c r="A3508" s="90" t="s">
        <v>7582</v>
      </c>
      <c r="B3508" s="90" t="s">
        <v>7583</v>
      </c>
      <c r="C3508" s="90" t="s">
        <v>16</v>
      </c>
      <c r="D3508" s="90" t="str">
        <f>VLOOKUP(Tabela1[[#This Row],[Origem]],'Perguntas 1 a 24'!$J$28:$K$34,2,FALSE)</f>
        <v>Sudeste</v>
      </c>
      <c r="E3508" s="90" t="s">
        <v>14834</v>
      </c>
      <c r="F3508" s="91">
        <v>47603</v>
      </c>
      <c r="G3508" s="92">
        <v>106566</v>
      </c>
      <c r="H3508" s="90" t="s">
        <v>9</v>
      </c>
      <c r="I35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8" s="90" t="s">
        <v>4871</v>
      </c>
    </row>
    <row r="3509" spans="1:11">
      <c r="A3509" s="90" t="s">
        <v>10515</v>
      </c>
      <c r="B3509" s="90" t="s">
        <v>10516</v>
      </c>
      <c r="C3509" s="90" t="s">
        <v>6</v>
      </c>
      <c r="D3509" s="90" t="str">
        <f>VLOOKUP(Tabela1[[#This Row],[Origem]],'Perguntas 1 a 24'!$J$28:$K$34,2,FALSE)</f>
        <v>Nordeste</v>
      </c>
      <c r="E3509" s="90" t="s">
        <v>14835</v>
      </c>
      <c r="F3509" s="91">
        <v>47603</v>
      </c>
      <c r="G3509" s="92">
        <v>74071</v>
      </c>
      <c r="H3509" s="90" t="s">
        <v>7</v>
      </c>
      <c r="I35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09" s="90" t="s">
        <v>7433</v>
      </c>
    </row>
    <row r="3510" spans="1:11">
      <c r="A3510" s="90" t="s">
        <v>6870</v>
      </c>
      <c r="B3510" s="90" t="s">
        <v>6871</v>
      </c>
      <c r="C3510" s="90" t="s">
        <v>6</v>
      </c>
      <c r="D3510" s="90" t="str">
        <f>VLOOKUP(Tabela1[[#This Row],[Origem]],'Perguntas 1 a 24'!$J$28:$K$34,2,FALSE)</f>
        <v>Nordeste</v>
      </c>
      <c r="E3510" s="90" t="s">
        <v>14836</v>
      </c>
      <c r="F3510" s="91">
        <v>47604</v>
      </c>
      <c r="G3510" s="92">
        <v>28073</v>
      </c>
      <c r="H3510" s="90" t="s">
        <v>9</v>
      </c>
      <c r="I35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0" s="90" t="s">
        <v>7823</v>
      </c>
    </row>
    <row r="3511" spans="1:11">
      <c r="A3511" s="90" t="s">
        <v>7396</v>
      </c>
      <c r="B3511" s="90" t="s">
        <v>7397</v>
      </c>
      <c r="C3511" s="90" t="s">
        <v>6</v>
      </c>
      <c r="D3511" s="90" t="str">
        <f>VLOOKUP(Tabela1[[#This Row],[Origem]],'Perguntas 1 a 24'!$J$28:$K$34,2,FALSE)</f>
        <v>Nordeste</v>
      </c>
      <c r="E3511" s="90" t="s">
        <v>14837</v>
      </c>
      <c r="F3511" s="91">
        <v>47604</v>
      </c>
      <c r="G3511" s="92">
        <v>48539</v>
      </c>
      <c r="H3511" s="90" t="s">
        <v>7</v>
      </c>
      <c r="I35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1" s="90" t="s">
        <v>5765</v>
      </c>
    </row>
    <row r="3512" spans="1:11">
      <c r="A3512" s="90" t="s">
        <v>10163</v>
      </c>
      <c r="B3512" s="90" t="s">
        <v>10164</v>
      </c>
      <c r="C3512" s="90" t="s">
        <v>15</v>
      </c>
      <c r="D3512" s="90" t="str">
        <f>VLOOKUP(Tabela1[[#This Row],[Origem]],'Perguntas 1 a 24'!$J$28:$K$34,2,FALSE)</f>
        <v>Sudeste</v>
      </c>
      <c r="E3512" s="90" t="s">
        <v>14838</v>
      </c>
      <c r="F3512" s="91">
        <v>47605</v>
      </c>
      <c r="G3512" s="92">
        <v>89300</v>
      </c>
      <c r="H3512" s="90" t="s">
        <v>11</v>
      </c>
      <c r="I35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2" s="90" t="s">
        <v>6857</v>
      </c>
    </row>
    <row r="3513" spans="1:11">
      <c r="A3513" s="90" t="s">
        <v>6072</v>
      </c>
      <c r="B3513" s="90" t="s">
        <v>6073</v>
      </c>
      <c r="C3513" s="90" t="s">
        <v>13</v>
      </c>
      <c r="D3513" s="90" t="str">
        <f>VLOOKUP(Tabela1[[#This Row],[Origem]],'Perguntas 1 a 24'!$J$28:$K$34,2,FALSE)</f>
        <v>Sudeste</v>
      </c>
      <c r="E3513" s="90" t="s">
        <v>14839</v>
      </c>
      <c r="F3513" s="91">
        <v>47606</v>
      </c>
      <c r="G3513" s="92">
        <v>56891</v>
      </c>
      <c r="H3513" s="90" t="s">
        <v>7</v>
      </c>
      <c r="I35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3" s="90" t="s">
        <v>9062</v>
      </c>
    </row>
    <row r="3514" spans="1:11">
      <c r="A3514" s="90" t="s">
        <v>10267</v>
      </c>
      <c r="B3514" s="90" t="s">
        <v>10268</v>
      </c>
      <c r="C3514" s="90" t="s">
        <v>10</v>
      </c>
      <c r="D3514" s="90" t="str">
        <f>VLOOKUP(Tabela1[[#This Row],[Origem]],'Perguntas 1 a 24'!$J$28:$K$34,2,FALSE)</f>
        <v>Centro-Oeste</v>
      </c>
      <c r="E3514" s="90" t="s">
        <v>14840</v>
      </c>
      <c r="F3514" s="91">
        <v>47606</v>
      </c>
      <c r="G3514" s="92">
        <v>92776</v>
      </c>
      <c r="H3514" s="90" t="s">
        <v>7</v>
      </c>
      <c r="I35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4" s="90" t="s">
        <v>10868</v>
      </c>
    </row>
    <row r="3515" spans="1:11">
      <c r="A3515" s="90" t="s">
        <v>5736</v>
      </c>
      <c r="B3515" s="90" t="s">
        <v>5737</v>
      </c>
      <c r="C3515" s="90" t="s">
        <v>16</v>
      </c>
      <c r="D3515" s="90" t="str">
        <f>VLOOKUP(Tabela1[[#This Row],[Origem]],'Perguntas 1 a 24'!$J$28:$K$34,2,FALSE)</f>
        <v>Sudeste</v>
      </c>
      <c r="E3515" s="90" t="s">
        <v>14841</v>
      </c>
      <c r="F3515" s="91">
        <v>47607</v>
      </c>
      <c r="G3515" s="92">
        <v>72304</v>
      </c>
      <c r="H3515" s="90" t="s">
        <v>7</v>
      </c>
      <c r="I35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5" s="90" t="s">
        <v>5393</v>
      </c>
    </row>
    <row r="3516" spans="1:11">
      <c r="A3516" s="90" t="s">
        <v>6962</v>
      </c>
      <c r="B3516" s="90" t="s">
        <v>6963</v>
      </c>
      <c r="C3516" s="90" t="s">
        <v>8</v>
      </c>
      <c r="D3516" s="90" t="str">
        <f>VLOOKUP(Tabela1[[#This Row],[Origem]],'Perguntas 1 a 24'!$J$28:$K$34,2,FALSE)</f>
        <v>Nordeste</v>
      </c>
      <c r="E3516" s="90" t="s">
        <v>14842</v>
      </c>
      <c r="F3516" s="91">
        <v>47608</v>
      </c>
      <c r="G3516" s="92">
        <v>24415</v>
      </c>
      <c r="H3516" s="90" t="s">
        <v>11</v>
      </c>
      <c r="I35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6" s="90" t="s">
        <v>7243</v>
      </c>
    </row>
    <row r="3517" spans="1:11">
      <c r="A3517" s="90" t="s">
        <v>10111</v>
      </c>
      <c r="B3517" s="90" t="s">
        <v>10112</v>
      </c>
      <c r="C3517" s="90" t="s">
        <v>13</v>
      </c>
      <c r="D3517" s="90" t="str">
        <f>VLOOKUP(Tabela1[[#This Row],[Origem]],'Perguntas 1 a 24'!$J$28:$K$34,2,FALSE)</f>
        <v>Sudeste</v>
      </c>
      <c r="E3517" s="90" t="s">
        <v>14843</v>
      </c>
      <c r="F3517" s="91">
        <v>47608</v>
      </c>
      <c r="G3517" s="92">
        <v>109382</v>
      </c>
      <c r="H3517" s="90" t="s">
        <v>9</v>
      </c>
      <c r="I35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7" s="90" t="s">
        <v>5307</v>
      </c>
    </row>
    <row r="3518" spans="1:11">
      <c r="A3518" s="90" t="s">
        <v>4844</v>
      </c>
      <c r="B3518" s="90" t="s">
        <v>4845</v>
      </c>
      <c r="C3518" s="90" t="s">
        <v>8</v>
      </c>
      <c r="D3518" s="90" t="str">
        <f>VLOOKUP(Tabela1[[#This Row],[Origem]],'Perguntas 1 a 24'!$J$28:$K$34,2,FALSE)</f>
        <v>Nordeste</v>
      </c>
      <c r="E3518" s="90" t="s">
        <v>14844</v>
      </c>
      <c r="F3518" s="91">
        <v>47609</v>
      </c>
      <c r="G3518" s="92">
        <v>105774</v>
      </c>
      <c r="H3518" s="90" t="s">
        <v>11</v>
      </c>
      <c r="I35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8" s="90" t="s">
        <v>11037</v>
      </c>
    </row>
    <row r="3519" spans="1:11">
      <c r="A3519" s="90" t="s">
        <v>5646</v>
      </c>
      <c r="B3519" s="90" t="s">
        <v>5647</v>
      </c>
      <c r="C3519" s="90" t="s">
        <v>15</v>
      </c>
      <c r="D3519" s="90" t="str">
        <f>VLOOKUP(Tabela1[[#This Row],[Origem]],'Perguntas 1 a 24'!$J$28:$K$34,2,FALSE)</f>
        <v>Sudeste</v>
      </c>
      <c r="E3519" s="90" t="s">
        <v>14845</v>
      </c>
      <c r="F3519" s="91">
        <v>47609</v>
      </c>
      <c r="G3519" s="92">
        <v>35980</v>
      </c>
      <c r="H3519" s="90" t="s">
        <v>14</v>
      </c>
      <c r="I35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19" s="90" t="s">
        <v>11140</v>
      </c>
    </row>
    <row r="3520" spans="1:11">
      <c r="A3520" s="90" t="s">
        <v>6790</v>
      </c>
      <c r="B3520" s="90" t="s">
        <v>6791</v>
      </c>
      <c r="C3520" s="90" t="s">
        <v>12</v>
      </c>
      <c r="D3520" s="90" t="str">
        <f>VLOOKUP(Tabela1[[#This Row],[Origem]],'Perguntas 1 a 24'!$J$28:$K$34,2,FALSE)</f>
        <v>Sudeste</v>
      </c>
      <c r="E3520" s="90" t="s">
        <v>14846</v>
      </c>
      <c r="F3520" s="91">
        <v>47609</v>
      </c>
      <c r="G3520" s="92">
        <v>87789</v>
      </c>
      <c r="H3520" s="90" t="s">
        <v>14</v>
      </c>
      <c r="I35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0" s="90" t="s">
        <v>3696</v>
      </c>
    </row>
    <row r="3521" spans="1:11">
      <c r="A3521" s="90" t="s">
        <v>4870</v>
      </c>
      <c r="B3521" s="90" t="s">
        <v>4871</v>
      </c>
      <c r="C3521" s="90" t="s">
        <v>16</v>
      </c>
      <c r="D3521" s="90" t="str">
        <f>VLOOKUP(Tabela1[[#This Row],[Origem]],'Perguntas 1 a 24'!$J$28:$K$34,2,FALSE)</f>
        <v>Sudeste</v>
      </c>
      <c r="E3521" s="90" t="s">
        <v>14847</v>
      </c>
      <c r="F3521" s="91">
        <v>47610</v>
      </c>
      <c r="G3521" s="92">
        <v>54961</v>
      </c>
      <c r="H3521" s="90" t="s">
        <v>14</v>
      </c>
      <c r="I35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1" s="90" t="s">
        <v>5155</v>
      </c>
    </row>
    <row r="3522" spans="1:11">
      <c r="A3522" s="90" t="s">
        <v>7432</v>
      </c>
      <c r="B3522" s="90" t="s">
        <v>7433</v>
      </c>
      <c r="C3522" s="90" t="s">
        <v>8</v>
      </c>
      <c r="D3522" s="90" t="str">
        <f>VLOOKUP(Tabela1[[#This Row],[Origem]],'Perguntas 1 a 24'!$J$28:$K$34,2,FALSE)</f>
        <v>Nordeste</v>
      </c>
      <c r="E3522" s="90" t="s">
        <v>14848</v>
      </c>
      <c r="F3522" s="91">
        <v>47610</v>
      </c>
      <c r="G3522" s="92">
        <v>88379</v>
      </c>
      <c r="H3522" s="90" t="s">
        <v>7</v>
      </c>
      <c r="I35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2" s="90" t="s">
        <v>9220</v>
      </c>
    </row>
    <row r="3523" spans="1:11">
      <c r="A3523" s="90" t="s">
        <v>7822</v>
      </c>
      <c r="B3523" s="90" t="s">
        <v>7823</v>
      </c>
      <c r="C3523" s="90" t="s">
        <v>15</v>
      </c>
      <c r="D3523" s="90" t="str">
        <f>VLOOKUP(Tabela1[[#This Row],[Origem]],'Perguntas 1 a 24'!$J$28:$K$34,2,FALSE)</f>
        <v>Sudeste</v>
      </c>
      <c r="E3523" s="90" t="s">
        <v>14849</v>
      </c>
      <c r="F3523" s="91">
        <v>47610</v>
      </c>
      <c r="G3523" s="92">
        <v>76985</v>
      </c>
      <c r="H3523" s="90" t="s">
        <v>14</v>
      </c>
      <c r="I35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3" s="90" t="s">
        <v>6061</v>
      </c>
    </row>
    <row r="3524" spans="1:11">
      <c r="A3524" s="90" t="s">
        <v>5764</v>
      </c>
      <c r="B3524" s="90" t="s">
        <v>5765</v>
      </c>
      <c r="C3524" s="90" t="s">
        <v>8</v>
      </c>
      <c r="D3524" s="90" t="str">
        <f>VLOOKUP(Tabela1[[#This Row],[Origem]],'Perguntas 1 a 24'!$J$28:$K$34,2,FALSE)</f>
        <v>Nordeste</v>
      </c>
      <c r="E3524" s="90" t="s">
        <v>14850</v>
      </c>
      <c r="F3524" s="91">
        <v>47611</v>
      </c>
      <c r="G3524" s="92">
        <v>92001</v>
      </c>
      <c r="H3524" s="90" t="s">
        <v>14</v>
      </c>
      <c r="I35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4" s="90" t="s">
        <v>8475</v>
      </c>
    </row>
    <row r="3525" spans="1:11">
      <c r="A3525" s="90" t="s">
        <v>6856</v>
      </c>
      <c r="B3525" s="90" t="s">
        <v>6857</v>
      </c>
      <c r="C3525" s="90" t="s">
        <v>10</v>
      </c>
      <c r="D3525" s="90" t="str">
        <f>VLOOKUP(Tabela1[[#This Row],[Origem]],'Perguntas 1 a 24'!$J$28:$K$34,2,FALSE)</f>
        <v>Centro-Oeste</v>
      </c>
      <c r="E3525" s="90" t="s">
        <v>14851</v>
      </c>
      <c r="F3525" s="91">
        <v>47611</v>
      </c>
      <c r="G3525" s="92">
        <v>106170</v>
      </c>
      <c r="H3525" s="90" t="s">
        <v>11</v>
      </c>
      <c r="I35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5" s="90" t="s">
        <v>11206</v>
      </c>
    </row>
    <row r="3526" spans="1:11">
      <c r="A3526" s="90" t="s">
        <v>9061</v>
      </c>
      <c r="B3526" s="90" t="s">
        <v>9062</v>
      </c>
      <c r="C3526" s="90" t="s">
        <v>15</v>
      </c>
      <c r="D3526" s="90" t="str">
        <f>VLOOKUP(Tabela1[[#This Row],[Origem]],'Perguntas 1 a 24'!$J$28:$K$34,2,FALSE)</f>
        <v>Sudeste</v>
      </c>
      <c r="E3526" s="90" t="s">
        <v>14852</v>
      </c>
      <c r="F3526" s="91">
        <v>47611</v>
      </c>
      <c r="G3526" s="92">
        <v>35191</v>
      </c>
      <c r="H3526" s="90" t="s">
        <v>9</v>
      </c>
      <c r="I35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6" s="90" t="s">
        <v>6605</v>
      </c>
    </row>
    <row r="3527" spans="1:11">
      <c r="A3527" s="90" t="s">
        <v>10867</v>
      </c>
      <c r="B3527" s="90" t="s">
        <v>10868</v>
      </c>
      <c r="C3527" s="90" t="s">
        <v>6</v>
      </c>
      <c r="D3527" s="90" t="str">
        <f>VLOOKUP(Tabela1[[#This Row],[Origem]],'Perguntas 1 a 24'!$J$28:$K$34,2,FALSE)</f>
        <v>Nordeste</v>
      </c>
      <c r="E3527" s="90" t="s">
        <v>14853</v>
      </c>
      <c r="F3527" s="91">
        <v>47611</v>
      </c>
      <c r="G3527" s="92">
        <v>49459</v>
      </c>
      <c r="H3527" s="90" t="s">
        <v>7</v>
      </c>
      <c r="I35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7" s="90" t="s">
        <v>6661</v>
      </c>
    </row>
    <row r="3528" spans="1:11">
      <c r="A3528" s="90" t="s">
        <v>5392</v>
      </c>
      <c r="B3528" s="90" t="s">
        <v>5393</v>
      </c>
      <c r="C3528" s="90" t="s">
        <v>16</v>
      </c>
      <c r="D3528" s="90" t="str">
        <f>VLOOKUP(Tabela1[[#This Row],[Origem]],'Perguntas 1 a 24'!$J$28:$K$34,2,FALSE)</f>
        <v>Sudeste</v>
      </c>
      <c r="E3528" s="90" t="s">
        <v>14854</v>
      </c>
      <c r="F3528" s="91">
        <v>47612</v>
      </c>
      <c r="G3528" s="92">
        <v>65919</v>
      </c>
      <c r="H3528" s="90" t="s">
        <v>14</v>
      </c>
      <c r="I35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8" s="90" t="s">
        <v>6663</v>
      </c>
    </row>
    <row r="3529" spans="1:11">
      <c r="A3529" s="90" t="s">
        <v>7242</v>
      </c>
      <c r="B3529" s="90" t="s">
        <v>7243</v>
      </c>
      <c r="C3529" s="90" t="s">
        <v>13</v>
      </c>
      <c r="D3529" s="90" t="str">
        <f>VLOOKUP(Tabela1[[#This Row],[Origem]],'Perguntas 1 a 24'!$J$28:$K$34,2,FALSE)</f>
        <v>Sudeste</v>
      </c>
      <c r="E3529" s="90" t="s">
        <v>14855</v>
      </c>
      <c r="F3529" s="91">
        <v>47613</v>
      </c>
      <c r="G3529" s="92">
        <v>58035</v>
      </c>
      <c r="H3529" s="90" t="s">
        <v>14</v>
      </c>
      <c r="I35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29" s="90" t="s">
        <v>8113</v>
      </c>
    </row>
    <row r="3530" spans="1:11">
      <c r="A3530" s="90" t="s">
        <v>5306</v>
      </c>
      <c r="B3530" s="90" t="s">
        <v>5307</v>
      </c>
      <c r="C3530" s="90" t="s">
        <v>10</v>
      </c>
      <c r="D3530" s="90" t="str">
        <f>VLOOKUP(Tabela1[[#This Row],[Origem]],'Perguntas 1 a 24'!$J$28:$K$34,2,FALSE)</f>
        <v>Centro-Oeste</v>
      </c>
      <c r="E3530" s="90" t="s">
        <v>14856</v>
      </c>
      <c r="F3530" s="91">
        <v>47614</v>
      </c>
      <c r="G3530" s="92">
        <v>31420</v>
      </c>
      <c r="H3530" s="90" t="s">
        <v>7</v>
      </c>
      <c r="I35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0" s="90" t="s">
        <v>8906</v>
      </c>
    </row>
    <row r="3531" spans="1:11">
      <c r="A3531" s="90" t="s">
        <v>11036</v>
      </c>
      <c r="B3531" s="90" t="s">
        <v>11037</v>
      </c>
      <c r="C3531" s="90" t="s">
        <v>13</v>
      </c>
      <c r="D3531" s="90" t="str">
        <f>VLOOKUP(Tabela1[[#This Row],[Origem]],'Perguntas 1 a 24'!$J$28:$K$34,2,FALSE)</f>
        <v>Sudeste</v>
      </c>
      <c r="E3531" s="90" t="s">
        <v>14857</v>
      </c>
      <c r="F3531" s="91">
        <v>47615</v>
      </c>
      <c r="G3531" s="92">
        <v>68479</v>
      </c>
      <c r="H3531" s="90" t="s">
        <v>14</v>
      </c>
      <c r="I35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1" s="90" t="s">
        <v>5125</v>
      </c>
    </row>
    <row r="3532" spans="1:11">
      <c r="A3532" s="90" t="s">
        <v>11139</v>
      </c>
      <c r="B3532" s="90" t="s">
        <v>11140</v>
      </c>
      <c r="C3532" s="90" t="s">
        <v>13</v>
      </c>
      <c r="D3532" s="90" t="str">
        <f>VLOOKUP(Tabela1[[#This Row],[Origem]],'Perguntas 1 a 24'!$J$28:$K$34,2,FALSE)</f>
        <v>Sudeste</v>
      </c>
      <c r="E3532" s="90" t="s">
        <v>14858</v>
      </c>
      <c r="F3532" s="91">
        <v>47615</v>
      </c>
      <c r="G3532" s="92">
        <v>102415</v>
      </c>
      <c r="H3532" s="90" t="s">
        <v>14</v>
      </c>
      <c r="I35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2" s="90" t="s">
        <v>6723</v>
      </c>
    </row>
    <row r="3533" spans="1:11">
      <c r="A3533" s="90" t="s">
        <v>3695</v>
      </c>
      <c r="B3533" s="90" t="s">
        <v>3696</v>
      </c>
      <c r="C3533" s="90" t="s">
        <v>16</v>
      </c>
      <c r="D3533" s="90" t="str">
        <f>VLOOKUP(Tabela1[[#This Row],[Origem]],'Perguntas 1 a 24'!$J$28:$K$34,2,FALSE)</f>
        <v>Sudeste</v>
      </c>
      <c r="E3533" s="90" t="s">
        <v>14859</v>
      </c>
      <c r="F3533" s="91">
        <v>47616</v>
      </c>
      <c r="G3533" s="92">
        <v>64518</v>
      </c>
      <c r="H3533" s="90" t="s">
        <v>9</v>
      </c>
      <c r="I35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3" s="90" t="s">
        <v>8035</v>
      </c>
    </row>
    <row r="3534" spans="1:11">
      <c r="A3534" s="90" t="s">
        <v>5154</v>
      </c>
      <c r="B3534" s="90" t="s">
        <v>5155</v>
      </c>
      <c r="C3534" s="90" t="s">
        <v>12</v>
      </c>
      <c r="D3534" s="90" t="str">
        <f>VLOOKUP(Tabela1[[#This Row],[Origem]],'Perguntas 1 a 24'!$J$28:$K$34,2,FALSE)</f>
        <v>Sudeste</v>
      </c>
      <c r="E3534" s="90" t="s">
        <v>14860</v>
      </c>
      <c r="F3534" s="91">
        <v>47616</v>
      </c>
      <c r="G3534" s="92">
        <v>25846</v>
      </c>
      <c r="H3534" s="90" t="s">
        <v>9</v>
      </c>
      <c r="I35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4" s="90" t="s">
        <v>10472</v>
      </c>
    </row>
    <row r="3535" spans="1:11">
      <c r="A3535" s="90" t="s">
        <v>9219</v>
      </c>
      <c r="B3535" s="90" t="s">
        <v>9220</v>
      </c>
      <c r="C3535" s="90" t="s">
        <v>10</v>
      </c>
      <c r="D3535" s="90" t="str">
        <f>VLOOKUP(Tabela1[[#This Row],[Origem]],'Perguntas 1 a 24'!$J$28:$K$34,2,FALSE)</f>
        <v>Centro-Oeste</v>
      </c>
      <c r="E3535" s="90" t="s">
        <v>14861</v>
      </c>
      <c r="F3535" s="91">
        <v>47616</v>
      </c>
      <c r="G3535" s="92">
        <v>60036</v>
      </c>
      <c r="H3535" s="90" t="s">
        <v>11</v>
      </c>
      <c r="I35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5" s="90" t="s">
        <v>5151</v>
      </c>
    </row>
    <row r="3536" spans="1:11">
      <c r="A3536" s="90" t="s">
        <v>6060</v>
      </c>
      <c r="B3536" s="90" t="s">
        <v>6061</v>
      </c>
      <c r="C3536" s="90" t="s">
        <v>15</v>
      </c>
      <c r="D3536" s="90" t="str">
        <f>VLOOKUP(Tabela1[[#This Row],[Origem]],'Perguntas 1 a 24'!$J$28:$K$34,2,FALSE)</f>
        <v>Sudeste</v>
      </c>
      <c r="E3536" s="90" t="s">
        <v>14862</v>
      </c>
      <c r="F3536" s="91">
        <v>47617</v>
      </c>
      <c r="G3536" s="92">
        <v>39628</v>
      </c>
      <c r="H3536" s="90" t="s">
        <v>7</v>
      </c>
      <c r="I35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6" s="90" t="s">
        <v>11244</v>
      </c>
    </row>
    <row r="3537" spans="1:11">
      <c r="A3537" s="90" t="s">
        <v>8474</v>
      </c>
      <c r="B3537" s="90" t="s">
        <v>8475</v>
      </c>
      <c r="C3537" s="90" t="s">
        <v>8</v>
      </c>
      <c r="D3537" s="90" t="str">
        <f>VLOOKUP(Tabela1[[#This Row],[Origem]],'Perguntas 1 a 24'!$J$28:$K$34,2,FALSE)</f>
        <v>Nordeste</v>
      </c>
      <c r="E3537" s="90" t="s">
        <v>14863</v>
      </c>
      <c r="F3537" s="91">
        <v>47617</v>
      </c>
      <c r="G3537" s="92">
        <v>111785</v>
      </c>
      <c r="H3537" s="90" t="s">
        <v>11</v>
      </c>
      <c r="I35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7" s="90" t="s">
        <v>5147</v>
      </c>
    </row>
    <row r="3538" spans="1:11">
      <c r="A3538" s="90" t="s">
        <v>11205</v>
      </c>
      <c r="B3538" s="90" t="s">
        <v>11206</v>
      </c>
      <c r="C3538" s="90" t="s">
        <v>8</v>
      </c>
      <c r="D3538" s="90" t="str">
        <f>VLOOKUP(Tabela1[[#This Row],[Origem]],'Perguntas 1 a 24'!$J$28:$K$34,2,FALSE)</f>
        <v>Nordeste</v>
      </c>
      <c r="E3538" s="90" t="s">
        <v>14864</v>
      </c>
      <c r="F3538" s="91">
        <v>47617</v>
      </c>
      <c r="G3538" s="92">
        <v>76653</v>
      </c>
      <c r="H3538" s="90" t="s">
        <v>14</v>
      </c>
      <c r="I35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8" s="90" t="s">
        <v>8033</v>
      </c>
    </row>
    <row r="3539" spans="1:11">
      <c r="A3539" s="90" t="s">
        <v>6604</v>
      </c>
      <c r="B3539" s="90" t="s">
        <v>6605</v>
      </c>
      <c r="C3539" s="90" t="s">
        <v>10</v>
      </c>
      <c r="D3539" s="90" t="str">
        <f>VLOOKUP(Tabela1[[#This Row],[Origem]],'Perguntas 1 a 24'!$J$28:$K$34,2,FALSE)</f>
        <v>Centro-Oeste</v>
      </c>
      <c r="E3539" s="90" t="s">
        <v>14865</v>
      </c>
      <c r="F3539" s="91">
        <v>47619</v>
      </c>
      <c r="G3539" s="92">
        <v>102032</v>
      </c>
      <c r="H3539" s="90" t="s">
        <v>9</v>
      </c>
      <c r="I35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39" s="90" t="s">
        <v>6593</v>
      </c>
    </row>
    <row r="3540" spans="1:11">
      <c r="A3540" s="90" t="s">
        <v>6660</v>
      </c>
      <c r="B3540" s="90" t="s">
        <v>6661</v>
      </c>
      <c r="C3540" s="90" t="s">
        <v>16</v>
      </c>
      <c r="D3540" s="90" t="str">
        <f>VLOOKUP(Tabela1[[#This Row],[Origem]],'Perguntas 1 a 24'!$J$28:$K$34,2,FALSE)</f>
        <v>Sudeste</v>
      </c>
      <c r="E3540" s="90" t="s">
        <v>14866</v>
      </c>
      <c r="F3540" s="91">
        <v>47619</v>
      </c>
      <c r="G3540" s="92">
        <v>83686</v>
      </c>
      <c r="H3540" s="90" t="s">
        <v>7</v>
      </c>
      <c r="I35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0" s="90" t="s">
        <v>10084</v>
      </c>
    </row>
    <row r="3541" spans="1:11">
      <c r="A3541" s="90" t="s">
        <v>6662</v>
      </c>
      <c r="B3541" s="90" t="s">
        <v>6663</v>
      </c>
      <c r="C3541" s="90" t="s">
        <v>10</v>
      </c>
      <c r="D3541" s="90" t="str">
        <f>VLOOKUP(Tabela1[[#This Row],[Origem]],'Perguntas 1 a 24'!$J$28:$K$34,2,FALSE)</f>
        <v>Centro-Oeste</v>
      </c>
      <c r="E3541" s="90" t="s">
        <v>14867</v>
      </c>
      <c r="F3541" s="91">
        <v>47619</v>
      </c>
      <c r="G3541" s="92">
        <v>59243</v>
      </c>
      <c r="H3541" s="90" t="s">
        <v>7</v>
      </c>
      <c r="I35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1" s="90" t="s">
        <v>11236</v>
      </c>
    </row>
    <row r="3542" spans="1:11">
      <c r="A3542" s="90" t="s">
        <v>8112</v>
      </c>
      <c r="B3542" s="90" t="s">
        <v>8113</v>
      </c>
      <c r="C3542" s="90" t="s">
        <v>12</v>
      </c>
      <c r="D3542" s="90" t="str">
        <f>VLOOKUP(Tabela1[[#This Row],[Origem]],'Perguntas 1 a 24'!$J$28:$K$34,2,FALSE)</f>
        <v>Sudeste</v>
      </c>
      <c r="E3542" s="90" t="s">
        <v>14868</v>
      </c>
      <c r="F3542" s="91">
        <v>47620</v>
      </c>
      <c r="G3542" s="92">
        <v>108569</v>
      </c>
      <c r="H3542" s="90" t="s">
        <v>7</v>
      </c>
      <c r="I35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2" s="90" t="s">
        <v>8533</v>
      </c>
    </row>
    <row r="3543" spans="1:11">
      <c r="A3543" s="90" t="s">
        <v>8905</v>
      </c>
      <c r="B3543" s="90" t="s">
        <v>8906</v>
      </c>
      <c r="C3543" s="90" t="s">
        <v>6</v>
      </c>
      <c r="D3543" s="90" t="str">
        <f>VLOOKUP(Tabela1[[#This Row],[Origem]],'Perguntas 1 a 24'!$J$28:$K$34,2,FALSE)</f>
        <v>Nordeste</v>
      </c>
      <c r="E3543" s="90" t="s">
        <v>14869</v>
      </c>
      <c r="F3543" s="91">
        <v>47620</v>
      </c>
      <c r="G3543" s="92">
        <v>46732</v>
      </c>
      <c r="H3543" s="90" t="s">
        <v>11</v>
      </c>
      <c r="I35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3" s="90" t="s">
        <v>9826</v>
      </c>
    </row>
    <row r="3544" spans="1:11">
      <c r="A3544" s="90" t="s">
        <v>5124</v>
      </c>
      <c r="B3544" s="90" t="s">
        <v>5125</v>
      </c>
      <c r="C3544" s="90" t="s">
        <v>15</v>
      </c>
      <c r="D3544" s="90" t="str">
        <f>VLOOKUP(Tabela1[[#This Row],[Origem]],'Perguntas 1 a 24'!$J$28:$K$34,2,FALSE)</f>
        <v>Sudeste</v>
      </c>
      <c r="E3544" s="90" t="s">
        <v>14870</v>
      </c>
      <c r="F3544" s="91">
        <v>47622</v>
      </c>
      <c r="G3544" s="92">
        <v>64069</v>
      </c>
      <c r="H3544" s="90" t="s">
        <v>7</v>
      </c>
      <c r="I35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4" s="90" t="s">
        <v>7663</v>
      </c>
    </row>
    <row r="3545" spans="1:11">
      <c r="A3545" s="90" t="s">
        <v>6722</v>
      </c>
      <c r="B3545" s="90" t="s">
        <v>6723</v>
      </c>
      <c r="C3545" s="90" t="s">
        <v>6</v>
      </c>
      <c r="D3545" s="90" t="str">
        <f>VLOOKUP(Tabela1[[#This Row],[Origem]],'Perguntas 1 a 24'!$J$28:$K$34,2,FALSE)</f>
        <v>Nordeste</v>
      </c>
      <c r="E3545" s="90" t="s">
        <v>14871</v>
      </c>
      <c r="F3545" s="91">
        <v>47623</v>
      </c>
      <c r="G3545" s="92">
        <v>42341</v>
      </c>
      <c r="H3545" s="90" t="s">
        <v>14</v>
      </c>
      <c r="I35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5" s="90" t="s">
        <v>7905</v>
      </c>
    </row>
    <row r="3546" spans="1:11">
      <c r="A3546" s="90" t="s">
        <v>8034</v>
      </c>
      <c r="B3546" s="90" t="s">
        <v>8035</v>
      </c>
      <c r="C3546" s="90" t="s">
        <v>13</v>
      </c>
      <c r="D3546" s="90" t="str">
        <f>VLOOKUP(Tabela1[[#This Row],[Origem]],'Perguntas 1 a 24'!$J$28:$K$34,2,FALSE)</f>
        <v>Sudeste</v>
      </c>
      <c r="E3546" s="90" t="s">
        <v>14872</v>
      </c>
      <c r="F3546" s="91">
        <v>47623</v>
      </c>
      <c r="G3546" s="92">
        <v>37913</v>
      </c>
      <c r="H3546" s="90" t="s">
        <v>7</v>
      </c>
      <c r="I35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6" s="90" t="s">
        <v>5487</v>
      </c>
    </row>
    <row r="3547" spans="1:11">
      <c r="A3547" s="90" t="s">
        <v>10471</v>
      </c>
      <c r="B3547" s="90" t="s">
        <v>10472</v>
      </c>
      <c r="C3547" s="90" t="s">
        <v>15</v>
      </c>
      <c r="D3547" s="90" t="str">
        <f>VLOOKUP(Tabela1[[#This Row],[Origem]],'Perguntas 1 a 24'!$J$28:$K$34,2,FALSE)</f>
        <v>Sudeste</v>
      </c>
      <c r="E3547" s="90" t="s">
        <v>14873</v>
      </c>
      <c r="F3547" s="91">
        <v>47623</v>
      </c>
      <c r="G3547" s="92">
        <v>74147</v>
      </c>
      <c r="H3547" s="90" t="s">
        <v>9</v>
      </c>
      <c r="I35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7" s="90" t="s">
        <v>8139</v>
      </c>
    </row>
    <row r="3548" spans="1:11">
      <c r="A3548" s="90" t="s">
        <v>5150</v>
      </c>
      <c r="B3548" s="90" t="s">
        <v>5151</v>
      </c>
      <c r="C3548" s="90" t="s">
        <v>6</v>
      </c>
      <c r="D3548" s="90" t="str">
        <f>VLOOKUP(Tabela1[[#This Row],[Origem]],'Perguntas 1 a 24'!$J$28:$K$34,2,FALSE)</f>
        <v>Nordeste</v>
      </c>
      <c r="E3548" s="90" t="s">
        <v>14874</v>
      </c>
      <c r="F3548" s="91">
        <v>47625</v>
      </c>
      <c r="G3548" s="92">
        <v>60566</v>
      </c>
      <c r="H3548" s="90" t="s">
        <v>7</v>
      </c>
      <c r="I35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8" s="90" t="s">
        <v>7361</v>
      </c>
    </row>
    <row r="3549" spans="1:11">
      <c r="A3549" s="90" t="s">
        <v>11243</v>
      </c>
      <c r="B3549" s="90" t="s">
        <v>11244</v>
      </c>
      <c r="C3549" s="90" t="s">
        <v>13</v>
      </c>
      <c r="D3549" s="90" t="str">
        <f>VLOOKUP(Tabela1[[#This Row],[Origem]],'Perguntas 1 a 24'!$J$28:$K$34,2,FALSE)</f>
        <v>Sudeste</v>
      </c>
      <c r="E3549" s="90" t="s">
        <v>14875</v>
      </c>
      <c r="F3549" s="91">
        <v>47625</v>
      </c>
      <c r="G3549" s="92">
        <v>93768</v>
      </c>
      <c r="H3549" s="90" t="s">
        <v>7</v>
      </c>
      <c r="I35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49" s="90" t="s">
        <v>7773</v>
      </c>
    </row>
    <row r="3550" spans="1:11">
      <c r="A3550" s="90" t="s">
        <v>5146</v>
      </c>
      <c r="B3550" s="90" t="s">
        <v>5147</v>
      </c>
      <c r="C3550" s="90" t="s">
        <v>8</v>
      </c>
      <c r="D3550" s="90" t="str">
        <f>VLOOKUP(Tabela1[[#This Row],[Origem]],'Perguntas 1 a 24'!$J$28:$K$34,2,FALSE)</f>
        <v>Nordeste</v>
      </c>
      <c r="E3550" s="90" t="s">
        <v>14876</v>
      </c>
      <c r="F3550" s="91">
        <v>47626</v>
      </c>
      <c r="G3550" s="92">
        <v>111610</v>
      </c>
      <c r="H3550" s="90" t="s">
        <v>7</v>
      </c>
      <c r="I35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0" s="90" t="s">
        <v>10898</v>
      </c>
    </row>
    <row r="3551" spans="1:11">
      <c r="A3551" s="90" t="s">
        <v>8032</v>
      </c>
      <c r="B3551" s="90" t="s">
        <v>8033</v>
      </c>
      <c r="C3551" s="90" t="s">
        <v>16</v>
      </c>
      <c r="D3551" s="90" t="str">
        <f>VLOOKUP(Tabela1[[#This Row],[Origem]],'Perguntas 1 a 24'!$J$28:$K$34,2,FALSE)</f>
        <v>Sudeste</v>
      </c>
      <c r="E3551" s="90" t="s">
        <v>14877</v>
      </c>
      <c r="F3551" s="91">
        <v>47626</v>
      </c>
      <c r="G3551" s="92">
        <v>92062</v>
      </c>
      <c r="H3551" s="90" t="s">
        <v>7</v>
      </c>
      <c r="I35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1" s="90" t="s">
        <v>4442</v>
      </c>
    </row>
    <row r="3552" spans="1:11">
      <c r="A3552" s="90" t="s">
        <v>6592</v>
      </c>
      <c r="B3552" s="90" t="s">
        <v>6593</v>
      </c>
      <c r="C3552" s="90" t="s">
        <v>13</v>
      </c>
      <c r="D3552" s="90" t="str">
        <f>VLOOKUP(Tabela1[[#This Row],[Origem]],'Perguntas 1 a 24'!$J$28:$K$34,2,FALSE)</f>
        <v>Sudeste</v>
      </c>
      <c r="E3552" s="90" t="s">
        <v>14878</v>
      </c>
      <c r="F3552" s="91">
        <v>47627</v>
      </c>
      <c r="G3552" s="92">
        <v>102561</v>
      </c>
      <c r="H3552" s="90" t="s">
        <v>14</v>
      </c>
      <c r="I35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2" s="90" t="s">
        <v>9510</v>
      </c>
    </row>
    <row r="3553" spans="1:11">
      <c r="A3553" s="90" t="s">
        <v>10083</v>
      </c>
      <c r="B3553" s="90" t="s">
        <v>10084</v>
      </c>
      <c r="C3553" s="90" t="s">
        <v>10</v>
      </c>
      <c r="D3553" s="90" t="str">
        <f>VLOOKUP(Tabela1[[#This Row],[Origem]],'Perguntas 1 a 24'!$J$28:$K$34,2,FALSE)</f>
        <v>Centro-Oeste</v>
      </c>
      <c r="E3553" s="90" t="s">
        <v>14879</v>
      </c>
      <c r="F3553" s="91">
        <v>47627</v>
      </c>
      <c r="G3553" s="92">
        <v>20109</v>
      </c>
      <c r="H3553" s="90" t="s">
        <v>7</v>
      </c>
      <c r="I35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3" s="90" t="s">
        <v>4625</v>
      </c>
    </row>
    <row r="3554" spans="1:11">
      <c r="A3554" s="90" t="s">
        <v>11235</v>
      </c>
      <c r="B3554" s="90" t="s">
        <v>11236</v>
      </c>
      <c r="C3554" s="90" t="s">
        <v>12</v>
      </c>
      <c r="D3554" s="90" t="str">
        <f>VLOOKUP(Tabela1[[#This Row],[Origem]],'Perguntas 1 a 24'!$J$28:$K$34,2,FALSE)</f>
        <v>Sudeste</v>
      </c>
      <c r="E3554" s="90" t="s">
        <v>14880</v>
      </c>
      <c r="F3554" s="91">
        <v>47627</v>
      </c>
      <c r="G3554" s="92">
        <v>97813</v>
      </c>
      <c r="H3554" s="90" t="s">
        <v>14</v>
      </c>
      <c r="I35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4" s="90" t="s">
        <v>4280</v>
      </c>
    </row>
    <row r="3555" spans="1:11">
      <c r="A3555" s="90" t="s">
        <v>8532</v>
      </c>
      <c r="B3555" s="90" t="s">
        <v>8533</v>
      </c>
      <c r="C3555" s="90" t="s">
        <v>16</v>
      </c>
      <c r="D3555" s="90" t="str">
        <f>VLOOKUP(Tabela1[[#This Row],[Origem]],'Perguntas 1 a 24'!$J$28:$K$34,2,FALSE)</f>
        <v>Sudeste</v>
      </c>
      <c r="E3555" s="90" t="s">
        <v>14881</v>
      </c>
      <c r="F3555" s="91">
        <v>47628</v>
      </c>
      <c r="G3555" s="92">
        <v>38651</v>
      </c>
      <c r="H3555" s="90" t="s">
        <v>11</v>
      </c>
      <c r="I35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5" s="90" t="s">
        <v>7675</v>
      </c>
    </row>
    <row r="3556" spans="1:11">
      <c r="A3556" s="90" t="s">
        <v>9825</v>
      </c>
      <c r="B3556" s="90" t="s">
        <v>9826</v>
      </c>
      <c r="C3556" s="90" t="s">
        <v>8</v>
      </c>
      <c r="D3556" s="90" t="str">
        <f>VLOOKUP(Tabela1[[#This Row],[Origem]],'Perguntas 1 a 24'!$J$28:$K$34,2,FALSE)</f>
        <v>Nordeste</v>
      </c>
      <c r="E3556" s="90" t="s">
        <v>14882</v>
      </c>
      <c r="F3556" s="91">
        <v>47628</v>
      </c>
      <c r="G3556" s="92">
        <v>40410</v>
      </c>
      <c r="H3556" s="90" t="s">
        <v>11</v>
      </c>
      <c r="I35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6" s="90" t="s">
        <v>9668</v>
      </c>
    </row>
    <row r="3557" spans="1:11">
      <c r="A3557" s="90" t="s">
        <v>7662</v>
      </c>
      <c r="B3557" s="90" t="s">
        <v>7663</v>
      </c>
      <c r="C3557" s="90" t="s">
        <v>16</v>
      </c>
      <c r="D3557" s="90" t="str">
        <f>VLOOKUP(Tabela1[[#This Row],[Origem]],'Perguntas 1 a 24'!$J$28:$K$34,2,FALSE)</f>
        <v>Sudeste</v>
      </c>
      <c r="E3557" s="90" t="s">
        <v>14883</v>
      </c>
      <c r="F3557" s="91">
        <v>47631</v>
      </c>
      <c r="G3557" s="92">
        <v>64580</v>
      </c>
      <c r="H3557" s="90" t="s">
        <v>7</v>
      </c>
      <c r="I35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7" s="90" t="s">
        <v>10292</v>
      </c>
    </row>
    <row r="3558" spans="1:11">
      <c r="A3558" s="90" t="s">
        <v>7904</v>
      </c>
      <c r="B3558" s="90" t="s">
        <v>7905</v>
      </c>
      <c r="C3558" s="90" t="s">
        <v>13</v>
      </c>
      <c r="D3558" s="90" t="str">
        <f>VLOOKUP(Tabela1[[#This Row],[Origem]],'Perguntas 1 a 24'!$J$28:$K$34,2,FALSE)</f>
        <v>Sudeste</v>
      </c>
      <c r="E3558" s="90" t="s">
        <v>14884</v>
      </c>
      <c r="F3558" s="91">
        <v>47631</v>
      </c>
      <c r="G3558" s="92">
        <v>96353</v>
      </c>
      <c r="H3558" s="90" t="s">
        <v>7</v>
      </c>
      <c r="I35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8" s="90" t="s">
        <v>4414</v>
      </c>
    </row>
    <row r="3559" spans="1:11">
      <c r="A3559" s="90" t="s">
        <v>5486</v>
      </c>
      <c r="B3559" s="90" t="s">
        <v>5487</v>
      </c>
      <c r="C3559" s="90" t="s">
        <v>12</v>
      </c>
      <c r="D3559" s="90" t="str">
        <f>VLOOKUP(Tabela1[[#This Row],[Origem]],'Perguntas 1 a 24'!$J$28:$K$34,2,FALSE)</f>
        <v>Sudeste</v>
      </c>
      <c r="E3559" s="90" t="s">
        <v>14885</v>
      </c>
      <c r="F3559" s="91">
        <v>47632</v>
      </c>
      <c r="G3559" s="92">
        <v>85648</v>
      </c>
      <c r="H3559" s="90" t="s">
        <v>11</v>
      </c>
      <c r="I35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59" s="90" t="s">
        <v>4835</v>
      </c>
    </row>
    <row r="3560" spans="1:11">
      <c r="A3560" s="90" t="s">
        <v>8138</v>
      </c>
      <c r="B3560" s="90" t="s">
        <v>8139</v>
      </c>
      <c r="C3560" s="90" t="s">
        <v>12</v>
      </c>
      <c r="D3560" s="90" t="str">
        <f>VLOOKUP(Tabela1[[#This Row],[Origem]],'Perguntas 1 a 24'!$J$28:$K$34,2,FALSE)</f>
        <v>Sudeste</v>
      </c>
      <c r="E3560" s="90" t="s">
        <v>14886</v>
      </c>
      <c r="F3560" s="91">
        <v>47632</v>
      </c>
      <c r="G3560" s="92">
        <v>31168</v>
      </c>
      <c r="H3560" s="90" t="s">
        <v>7</v>
      </c>
      <c r="I35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0" s="90" t="s">
        <v>5023</v>
      </c>
    </row>
    <row r="3561" spans="1:11">
      <c r="A3561" s="90" t="s">
        <v>7360</v>
      </c>
      <c r="B3561" s="90" t="s">
        <v>7361</v>
      </c>
      <c r="C3561" s="90" t="s">
        <v>12</v>
      </c>
      <c r="D3561" s="90" t="str">
        <f>VLOOKUP(Tabela1[[#This Row],[Origem]],'Perguntas 1 a 24'!$J$28:$K$34,2,FALSE)</f>
        <v>Sudeste</v>
      </c>
      <c r="E3561" s="90" t="s">
        <v>14887</v>
      </c>
      <c r="F3561" s="91">
        <v>47634</v>
      </c>
      <c r="G3561" s="92">
        <v>113418</v>
      </c>
      <c r="H3561" s="90" t="s">
        <v>9</v>
      </c>
      <c r="I35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1" s="90" t="s">
        <v>8353</v>
      </c>
    </row>
    <row r="3562" spans="1:11">
      <c r="A3562" s="90" t="s">
        <v>7772</v>
      </c>
      <c r="B3562" s="90" t="s">
        <v>7773</v>
      </c>
      <c r="C3562" s="90" t="s">
        <v>8</v>
      </c>
      <c r="D3562" s="90" t="str">
        <f>VLOOKUP(Tabela1[[#This Row],[Origem]],'Perguntas 1 a 24'!$J$28:$K$34,2,FALSE)</f>
        <v>Nordeste</v>
      </c>
      <c r="E3562" s="90" t="s">
        <v>14888</v>
      </c>
      <c r="F3562" s="91">
        <v>47636</v>
      </c>
      <c r="G3562" s="92">
        <v>69920</v>
      </c>
      <c r="H3562" s="90" t="s">
        <v>14</v>
      </c>
      <c r="I35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2" s="90" t="s">
        <v>11142</v>
      </c>
    </row>
    <row r="3563" spans="1:11">
      <c r="A3563" s="90" t="s">
        <v>10897</v>
      </c>
      <c r="B3563" s="90" t="s">
        <v>10898</v>
      </c>
      <c r="C3563" s="90" t="s">
        <v>6</v>
      </c>
      <c r="D3563" s="90" t="str">
        <f>VLOOKUP(Tabela1[[#This Row],[Origem]],'Perguntas 1 a 24'!$J$28:$K$34,2,FALSE)</f>
        <v>Nordeste</v>
      </c>
      <c r="E3563" s="90" t="s">
        <v>14889</v>
      </c>
      <c r="F3563" s="91">
        <v>47637</v>
      </c>
      <c r="G3563" s="92">
        <v>46702</v>
      </c>
      <c r="H3563" s="90" t="s">
        <v>14</v>
      </c>
      <c r="I35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3" s="90" t="s">
        <v>10936</v>
      </c>
    </row>
    <row r="3564" spans="1:11">
      <c r="A3564" s="90" t="s">
        <v>4441</v>
      </c>
      <c r="B3564" s="90" t="s">
        <v>4442</v>
      </c>
      <c r="C3564" s="90" t="s">
        <v>6</v>
      </c>
      <c r="D3564" s="90" t="str">
        <f>VLOOKUP(Tabela1[[#This Row],[Origem]],'Perguntas 1 a 24'!$J$28:$K$34,2,FALSE)</f>
        <v>Nordeste</v>
      </c>
      <c r="E3564" s="90" t="s">
        <v>14890</v>
      </c>
      <c r="F3564" s="91">
        <v>47638</v>
      </c>
      <c r="G3564" s="92">
        <v>51738</v>
      </c>
      <c r="H3564" s="90" t="s">
        <v>9</v>
      </c>
      <c r="I35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4" s="90" t="s">
        <v>8644</v>
      </c>
    </row>
    <row r="3565" spans="1:11">
      <c r="A3565" s="90" t="s">
        <v>9509</v>
      </c>
      <c r="B3565" s="90" t="s">
        <v>9510</v>
      </c>
      <c r="C3565" s="90" t="s">
        <v>6</v>
      </c>
      <c r="D3565" s="90" t="str">
        <f>VLOOKUP(Tabela1[[#This Row],[Origem]],'Perguntas 1 a 24'!$J$28:$K$34,2,FALSE)</f>
        <v>Nordeste</v>
      </c>
      <c r="E3565" s="90" t="s">
        <v>14891</v>
      </c>
      <c r="F3565" s="91">
        <v>47638</v>
      </c>
      <c r="G3565" s="92">
        <v>98173</v>
      </c>
      <c r="H3565" s="90" t="s">
        <v>9</v>
      </c>
      <c r="I35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5" s="90" t="s">
        <v>9388</v>
      </c>
    </row>
    <row r="3566" spans="1:11">
      <c r="A3566" s="90" t="s">
        <v>4624</v>
      </c>
      <c r="B3566" s="90" t="s">
        <v>4625</v>
      </c>
      <c r="C3566" s="90" t="s">
        <v>16</v>
      </c>
      <c r="D3566" s="90" t="str">
        <f>VLOOKUP(Tabela1[[#This Row],[Origem]],'Perguntas 1 a 24'!$J$28:$K$34,2,FALSE)</f>
        <v>Sudeste</v>
      </c>
      <c r="E3566" s="90" t="s">
        <v>14892</v>
      </c>
      <c r="F3566" s="91">
        <v>47639</v>
      </c>
      <c r="G3566" s="92">
        <v>114980</v>
      </c>
      <c r="H3566" s="90" t="s">
        <v>7</v>
      </c>
      <c r="I35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6" s="90" t="s">
        <v>5099</v>
      </c>
    </row>
    <row r="3567" spans="1:11">
      <c r="A3567" s="90" t="s">
        <v>4279</v>
      </c>
      <c r="B3567" s="90" t="s">
        <v>4280</v>
      </c>
      <c r="C3567" s="90" t="s">
        <v>6</v>
      </c>
      <c r="D3567" s="90" t="str">
        <f>VLOOKUP(Tabela1[[#This Row],[Origem]],'Perguntas 1 a 24'!$J$28:$K$34,2,FALSE)</f>
        <v>Nordeste</v>
      </c>
      <c r="E3567" s="90" t="s">
        <v>14893</v>
      </c>
      <c r="F3567" s="91">
        <v>47640</v>
      </c>
      <c r="G3567" s="92">
        <v>87317</v>
      </c>
      <c r="H3567" s="90" t="s">
        <v>9</v>
      </c>
      <c r="I35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7" s="90" t="s">
        <v>5551</v>
      </c>
    </row>
    <row r="3568" spans="1:11">
      <c r="A3568" s="90" t="s">
        <v>7674</v>
      </c>
      <c r="B3568" s="90" t="s">
        <v>7675</v>
      </c>
      <c r="C3568" s="90" t="s">
        <v>10</v>
      </c>
      <c r="D3568" s="90" t="str">
        <f>VLOOKUP(Tabela1[[#This Row],[Origem]],'Perguntas 1 a 24'!$J$28:$K$34,2,FALSE)</f>
        <v>Centro-Oeste</v>
      </c>
      <c r="E3568" s="90" t="s">
        <v>14894</v>
      </c>
      <c r="F3568" s="91">
        <v>47640</v>
      </c>
      <c r="G3568" s="92">
        <v>51592</v>
      </c>
      <c r="H3568" s="90" t="s">
        <v>7</v>
      </c>
      <c r="I35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8" s="90" t="s">
        <v>6463</v>
      </c>
    </row>
    <row r="3569" spans="1:11">
      <c r="A3569" s="90" t="s">
        <v>9667</v>
      </c>
      <c r="B3569" s="90" t="s">
        <v>9668</v>
      </c>
      <c r="C3569" s="90" t="s">
        <v>16</v>
      </c>
      <c r="D3569" s="90" t="str">
        <f>VLOOKUP(Tabela1[[#This Row],[Origem]],'Perguntas 1 a 24'!$J$28:$K$34,2,FALSE)</f>
        <v>Sudeste</v>
      </c>
      <c r="E3569" s="90" t="s">
        <v>14895</v>
      </c>
      <c r="F3569" s="91">
        <v>47640</v>
      </c>
      <c r="G3569" s="92">
        <v>89278</v>
      </c>
      <c r="H3569" s="90" t="s">
        <v>11</v>
      </c>
      <c r="I35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69" s="90" t="s">
        <v>5911</v>
      </c>
    </row>
    <row r="3570" spans="1:11">
      <c r="A3570" s="90" t="s">
        <v>10291</v>
      </c>
      <c r="B3570" s="90" t="s">
        <v>10292</v>
      </c>
      <c r="C3570" s="90" t="s">
        <v>13</v>
      </c>
      <c r="D3570" s="90" t="str">
        <f>VLOOKUP(Tabela1[[#This Row],[Origem]],'Perguntas 1 a 24'!$J$28:$K$34,2,FALSE)</f>
        <v>Sudeste</v>
      </c>
      <c r="E3570" s="90" t="s">
        <v>14896</v>
      </c>
      <c r="F3570" s="91">
        <v>47640</v>
      </c>
      <c r="G3570" s="92">
        <v>39767</v>
      </c>
      <c r="H3570" s="90" t="s">
        <v>9</v>
      </c>
      <c r="I35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0" s="90" t="s">
        <v>6879</v>
      </c>
    </row>
    <row r="3571" spans="1:11">
      <c r="A3571" s="90" t="s">
        <v>4413</v>
      </c>
      <c r="B3571" s="90" t="s">
        <v>4414</v>
      </c>
      <c r="C3571" s="90" t="s">
        <v>15</v>
      </c>
      <c r="D3571" s="90" t="str">
        <f>VLOOKUP(Tabela1[[#This Row],[Origem]],'Perguntas 1 a 24'!$J$28:$K$34,2,FALSE)</f>
        <v>Sudeste</v>
      </c>
      <c r="E3571" s="90" t="s">
        <v>14897</v>
      </c>
      <c r="F3571" s="91">
        <v>47641</v>
      </c>
      <c r="G3571" s="92">
        <v>101009</v>
      </c>
      <c r="H3571" s="90" t="s">
        <v>11</v>
      </c>
      <c r="I35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1" s="90" t="s">
        <v>10116</v>
      </c>
    </row>
    <row r="3572" spans="1:11">
      <c r="A3572" s="90" t="s">
        <v>4834</v>
      </c>
      <c r="B3572" s="90" t="s">
        <v>4835</v>
      </c>
      <c r="C3572" s="90" t="s">
        <v>6</v>
      </c>
      <c r="D3572" s="90" t="str">
        <f>VLOOKUP(Tabela1[[#This Row],[Origem]],'Perguntas 1 a 24'!$J$28:$K$34,2,FALSE)</f>
        <v>Nordeste</v>
      </c>
      <c r="E3572" s="90" t="s">
        <v>14898</v>
      </c>
      <c r="F3572" s="91">
        <v>47641</v>
      </c>
      <c r="G3572" s="92">
        <v>22668</v>
      </c>
      <c r="H3572" s="90" t="s">
        <v>14</v>
      </c>
      <c r="I35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2" s="90" t="s">
        <v>9108</v>
      </c>
    </row>
    <row r="3573" spans="1:11">
      <c r="A3573" s="90" t="s">
        <v>5022</v>
      </c>
      <c r="B3573" s="90" t="s">
        <v>5023</v>
      </c>
      <c r="C3573" s="90" t="s">
        <v>8</v>
      </c>
      <c r="D3573" s="90" t="str">
        <f>VLOOKUP(Tabela1[[#This Row],[Origem]],'Perguntas 1 a 24'!$J$28:$K$34,2,FALSE)</f>
        <v>Nordeste</v>
      </c>
      <c r="E3573" s="90" t="s">
        <v>14899</v>
      </c>
      <c r="F3573" s="91">
        <v>47641</v>
      </c>
      <c r="G3573" s="92">
        <v>34276</v>
      </c>
      <c r="H3573" s="90" t="s">
        <v>9</v>
      </c>
      <c r="I35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3" s="90" t="s">
        <v>7881</v>
      </c>
    </row>
    <row r="3574" spans="1:11">
      <c r="A3574" s="90" t="s">
        <v>8352</v>
      </c>
      <c r="B3574" s="90" t="s">
        <v>8353</v>
      </c>
      <c r="C3574" s="90" t="s">
        <v>8</v>
      </c>
      <c r="D3574" s="90" t="str">
        <f>VLOOKUP(Tabela1[[#This Row],[Origem]],'Perguntas 1 a 24'!$J$28:$K$34,2,FALSE)</f>
        <v>Nordeste</v>
      </c>
      <c r="E3574" s="90" t="s">
        <v>14900</v>
      </c>
      <c r="F3574" s="91">
        <v>47641</v>
      </c>
      <c r="G3574" s="92">
        <v>42883</v>
      </c>
      <c r="H3574" s="90" t="s">
        <v>14</v>
      </c>
      <c r="I35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4" s="90" t="s">
        <v>8706</v>
      </c>
    </row>
    <row r="3575" spans="1:11">
      <c r="A3575" s="90" t="s">
        <v>11141</v>
      </c>
      <c r="B3575" s="90" t="s">
        <v>11142</v>
      </c>
      <c r="C3575" s="90" t="s">
        <v>10</v>
      </c>
      <c r="D3575" s="90" t="str">
        <f>VLOOKUP(Tabela1[[#This Row],[Origem]],'Perguntas 1 a 24'!$J$28:$K$34,2,FALSE)</f>
        <v>Centro-Oeste</v>
      </c>
      <c r="E3575" s="90" t="s">
        <v>14901</v>
      </c>
      <c r="F3575" s="91">
        <v>47642</v>
      </c>
      <c r="G3575" s="92">
        <v>117846</v>
      </c>
      <c r="H3575" s="90" t="s">
        <v>11</v>
      </c>
      <c r="I35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5" s="90" t="s">
        <v>10004</v>
      </c>
    </row>
    <row r="3576" spans="1:11">
      <c r="A3576" s="90" t="s">
        <v>10935</v>
      </c>
      <c r="B3576" s="90" t="s">
        <v>10936</v>
      </c>
      <c r="C3576" s="90" t="s">
        <v>10</v>
      </c>
      <c r="D3576" s="90" t="str">
        <f>VLOOKUP(Tabela1[[#This Row],[Origem]],'Perguntas 1 a 24'!$J$28:$K$34,2,FALSE)</f>
        <v>Centro-Oeste</v>
      </c>
      <c r="E3576" s="90" t="s">
        <v>14902</v>
      </c>
      <c r="F3576" s="91">
        <v>47643</v>
      </c>
      <c r="G3576" s="92">
        <v>60810</v>
      </c>
      <c r="H3576" s="90" t="s">
        <v>14</v>
      </c>
      <c r="I35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6" s="90" t="s">
        <v>3785</v>
      </c>
    </row>
    <row r="3577" spans="1:11">
      <c r="A3577" s="90" t="s">
        <v>8643</v>
      </c>
      <c r="B3577" s="90" t="s">
        <v>8644</v>
      </c>
      <c r="C3577" s="90" t="s">
        <v>16</v>
      </c>
      <c r="D3577" s="90" t="str">
        <f>VLOOKUP(Tabela1[[#This Row],[Origem]],'Perguntas 1 a 24'!$J$28:$K$34,2,FALSE)</f>
        <v>Sudeste</v>
      </c>
      <c r="E3577" s="90" t="s">
        <v>14903</v>
      </c>
      <c r="F3577" s="91">
        <v>47644</v>
      </c>
      <c r="G3577" s="92">
        <v>42781</v>
      </c>
      <c r="H3577" s="90" t="s">
        <v>9</v>
      </c>
      <c r="I35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7" s="90" t="s">
        <v>10696</v>
      </c>
    </row>
    <row r="3578" spans="1:11">
      <c r="A3578" s="90" t="s">
        <v>9387</v>
      </c>
      <c r="B3578" s="90" t="s">
        <v>9388</v>
      </c>
      <c r="C3578" s="90" t="s">
        <v>12</v>
      </c>
      <c r="D3578" s="90" t="str">
        <f>VLOOKUP(Tabela1[[#This Row],[Origem]],'Perguntas 1 a 24'!$J$28:$K$34,2,FALSE)</f>
        <v>Sudeste</v>
      </c>
      <c r="E3578" s="90" t="s">
        <v>14904</v>
      </c>
      <c r="F3578" s="91">
        <v>47645</v>
      </c>
      <c r="G3578" s="92">
        <v>106679</v>
      </c>
      <c r="H3578" s="90" t="s">
        <v>7</v>
      </c>
      <c r="I35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8" s="90" t="s">
        <v>4791</v>
      </c>
    </row>
    <row r="3579" spans="1:11">
      <c r="A3579" s="90" t="s">
        <v>5098</v>
      </c>
      <c r="B3579" s="90" t="s">
        <v>5099</v>
      </c>
      <c r="C3579" s="90" t="s">
        <v>10</v>
      </c>
      <c r="D3579" s="90" t="str">
        <f>VLOOKUP(Tabela1[[#This Row],[Origem]],'Perguntas 1 a 24'!$J$28:$K$34,2,FALSE)</f>
        <v>Centro-Oeste</v>
      </c>
      <c r="E3579" s="90" t="s">
        <v>14905</v>
      </c>
      <c r="F3579" s="91">
        <v>47646</v>
      </c>
      <c r="G3579" s="92">
        <v>104970</v>
      </c>
      <c r="H3579" s="90" t="s">
        <v>11</v>
      </c>
      <c r="I35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79" s="90" t="s">
        <v>3809</v>
      </c>
    </row>
    <row r="3580" spans="1:11">
      <c r="A3580" s="90" t="s">
        <v>5550</v>
      </c>
      <c r="B3580" s="90" t="s">
        <v>5551</v>
      </c>
      <c r="C3580" s="90" t="s">
        <v>6</v>
      </c>
      <c r="D3580" s="90" t="str">
        <f>VLOOKUP(Tabela1[[#This Row],[Origem]],'Perguntas 1 a 24'!$J$28:$K$34,2,FALSE)</f>
        <v>Nordeste</v>
      </c>
      <c r="E3580" s="90" t="s">
        <v>14906</v>
      </c>
      <c r="F3580" s="91">
        <v>47648</v>
      </c>
      <c r="G3580" s="92">
        <v>108631</v>
      </c>
      <c r="H3580" s="90" t="s">
        <v>11</v>
      </c>
      <c r="I35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0" s="90" t="s">
        <v>7741</v>
      </c>
    </row>
    <row r="3581" spans="1:11">
      <c r="A3581" s="90" t="s">
        <v>6462</v>
      </c>
      <c r="B3581" s="90" t="s">
        <v>6463</v>
      </c>
      <c r="C3581" s="90" t="s">
        <v>13</v>
      </c>
      <c r="D3581" s="90" t="str">
        <f>VLOOKUP(Tabela1[[#This Row],[Origem]],'Perguntas 1 a 24'!$J$28:$K$34,2,FALSE)</f>
        <v>Sudeste</v>
      </c>
      <c r="E3581" s="90" t="s">
        <v>14907</v>
      </c>
      <c r="F3581" s="91">
        <v>47648</v>
      </c>
      <c r="G3581" s="92">
        <v>47178</v>
      </c>
      <c r="H3581" s="90" t="s">
        <v>9</v>
      </c>
      <c r="I35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1" s="90" t="s">
        <v>10544</v>
      </c>
    </row>
    <row r="3582" spans="1:11">
      <c r="A3582" s="90" t="s">
        <v>5910</v>
      </c>
      <c r="B3582" s="90" t="s">
        <v>5911</v>
      </c>
      <c r="C3582" s="90" t="s">
        <v>13</v>
      </c>
      <c r="D3582" s="90" t="str">
        <f>VLOOKUP(Tabela1[[#This Row],[Origem]],'Perguntas 1 a 24'!$J$28:$K$34,2,FALSE)</f>
        <v>Sudeste</v>
      </c>
      <c r="E3582" s="90" t="s">
        <v>14908</v>
      </c>
      <c r="F3582" s="91">
        <v>47649</v>
      </c>
      <c r="G3582" s="92">
        <v>34863</v>
      </c>
      <c r="H3582" s="90" t="s">
        <v>14</v>
      </c>
      <c r="I35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2" s="90" t="s">
        <v>8802</v>
      </c>
    </row>
    <row r="3583" spans="1:11">
      <c r="A3583" s="90" t="s">
        <v>6878</v>
      </c>
      <c r="B3583" s="90" t="s">
        <v>6879</v>
      </c>
      <c r="C3583" s="90" t="s">
        <v>8</v>
      </c>
      <c r="D3583" s="90" t="str">
        <f>VLOOKUP(Tabela1[[#This Row],[Origem]],'Perguntas 1 a 24'!$J$28:$K$34,2,FALSE)</f>
        <v>Nordeste</v>
      </c>
      <c r="E3583" s="90" t="s">
        <v>14909</v>
      </c>
      <c r="F3583" s="91">
        <v>47649</v>
      </c>
      <c r="G3583" s="92">
        <v>28340</v>
      </c>
      <c r="H3583" s="90" t="s">
        <v>9</v>
      </c>
      <c r="I35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3" s="90" t="s">
        <v>10198</v>
      </c>
    </row>
    <row r="3584" spans="1:11">
      <c r="A3584" s="90" t="s">
        <v>10115</v>
      </c>
      <c r="B3584" s="90" t="s">
        <v>10116</v>
      </c>
      <c r="C3584" s="90" t="s">
        <v>10</v>
      </c>
      <c r="D3584" s="90" t="str">
        <f>VLOOKUP(Tabela1[[#This Row],[Origem]],'Perguntas 1 a 24'!$J$28:$K$34,2,FALSE)</f>
        <v>Centro-Oeste</v>
      </c>
      <c r="E3584" s="90" t="s">
        <v>14910</v>
      </c>
      <c r="F3584" s="91">
        <v>47649</v>
      </c>
      <c r="G3584" s="92">
        <v>114178</v>
      </c>
      <c r="H3584" s="90" t="s">
        <v>14</v>
      </c>
      <c r="I35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4" s="90" t="s">
        <v>6231</v>
      </c>
    </row>
    <row r="3585" spans="1:11">
      <c r="A3585" s="90" t="s">
        <v>9107</v>
      </c>
      <c r="B3585" s="90" t="s">
        <v>9108</v>
      </c>
      <c r="C3585" s="90" t="s">
        <v>8</v>
      </c>
      <c r="D3585" s="90" t="str">
        <f>VLOOKUP(Tabela1[[#This Row],[Origem]],'Perguntas 1 a 24'!$J$28:$K$34,2,FALSE)</f>
        <v>Nordeste</v>
      </c>
      <c r="E3585" s="90" t="s">
        <v>14911</v>
      </c>
      <c r="F3585" s="91">
        <v>47650</v>
      </c>
      <c r="G3585" s="92">
        <v>58206</v>
      </c>
      <c r="H3585" s="90" t="s">
        <v>11</v>
      </c>
      <c r="I35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5" s="90" t="s">
        <v>6265</v>
      </c>
    </row>
    <row r="3586" spans="1:11">
      <c r="A3586" s="90" t="s">
        <v>7880</v>
      </c>
      <c r="B3586" s="90" t="s">
        <v>7881</v>
      </c>
      <c r="C3586" s="90" t="s">
        <v>8</v>
      </c>
      <c r="D3586" s="90" t="str">
        <f>VLOOKUP(Tabela1[[#This Row],[Origem]],'Perguntas 1 a 24'!$J$28:$K$34,2,FALSE)</f>
        <v>Nordeste</v>
      </c>
      <c r="E3586" s="90" t="s">
        <v>14912</v>
      </c>
      <c r="F3586" s="91">
        <v>47651</v>
      </c>
      <c r="G3586" s="92">
        <v>100094</v>
      </c>
      <c r="H3586" s="90" t="s">
        <v>14</v>
      </c>
      <c r="I35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6" s="90" t="s">
        <v>6451</v>
      </c>
    </row>
    <row r="3587" spans="1:11">
      <c r="A3587" s="90" t="s">
        <v>8705</v>
      </c>
      <c r="B3587" s="90" t="s">
        <v>8706</v>
      </c>
      <c r="C3587" s="90" t="s">
        <v>13</v>
      </c>
      <c r="D3587" s="90" t="str">
        <f>VLOOKUP(Tabela1[[#This Row],[Origem]],'Perguntas 1 a 24'!$J$28:$K$34,2,FALSE)</f>
        <v>Sudeste</v>
      </c>
      <c r="E3587" s="90" t="s">
        <v>14913</v>
      </c>
      <c r="F3587" s="91">
        <v>47651</v>
      </c>
      <c r="G3587" s="92">
        <v>37246</v>
      </c>
      <c r="H3587" s="90" t="s">
        <v>9</v>
      </c>
      <c r="I35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7" s="90" t="s">
        <v>6841</v>
      </c>
    </row>
    <row r="3588" spans="1:11">
      <c r="A3588" s="90" t="s">
        <v>10003</v>
      </c>
      <c r="B3588" s="90" t="s">
        <v>10004</v>
      </c>
      <c r="C3588" s="90" t="s">
        <v>6</v>
      </c>
      <c r="D3588" s="90" t="str">
        <f>VLOOKUP(Tabela1[[#This Row],[Origem]],'Perguntas 1 a 24'!$J$28:$K$34,2,FALSE)</f>
        <v>Nordeste</v>
      </c>
      <c r="E3588" s="90" t="s">
        <v>14914</v>
      </c>
      <c r="F3588" s="91">
        <v>47651</v>
      </c>
      <c r="G3588" s="92">
        <v>86980</v>
      </c>
      <c r="H3588" s="90" t="s">
        <v>14</v>
      </c>
      <c r="I35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8" s="90" t="s">
        <v>6887</v>
      </c>
    </row>
    <row r="3589" spans="1:11">
      <c r="A3589" s="90" t="s">
        <v>3784</v>
      </c>
      <c r="B3589" s="90" t="s">
        <v>3785</v>
      </c>
      <c r="C3589" s="90" t="s">
        <v>15</v>
      </c>
      <c r="D3589" s="90" t="str">
        <f>VLOOKUP(Tabela1[[#This Row],[Origem]],'Perguntas 1 a 24'!$J$28:$K$34,2,FALSE)</f>
        <v>Sudeste</v>
      </c>
      <c r="E3589" s="90" t="s">
        <v>14915</v>
      </c>
      <c r="F3589" s="91">
        <v>47655</v>
      </c>
      <c r="G3589" s="92">
        <v>113134</v>
      </c>
      <c r="H3589" s="90" t="s">
        <v>11</v>
      </c>
      <c r="I35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89" s="90" t="s">
        <v>10182</v>
      </c>
    </row>
    <row r="3590" spans="1:11">
      <c r="A3590" s="90" t="s">
        <v>10695</v>
      </c>
      <c r="B3590" s="90" t="s">
        <v>10696</v>
      </c>
      <c r="C3590" s="90" t="s">
        <v>12</v>
      </c>
      <c r="D3590" s="90" t="str">
        <f>VLOOKUP(Tabela1[[#This Row],[Origem]],'Perguntas 1 a 24'!$J$28:$K$34,2,FALSE)</f>
        <v>Sudeste</v>
      </c>
      <c r="E3590" s="90" t="s">
        <v>14916</v>
      </c>
      <c r="F3590" s="91">
        <v>47655</v>
      </c>
      <c r="G3590" s="92">
        <v>60415</v>
      </c>
      <c r="H3590" s="90" t="s">
        <v>9</v>
      </c>
      <c r="I35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0" s="90" t="s">
        <v>10216</v>
      </c>
    </row>
    <row r="3591" spans="1:11">
      <c r="A3591" s="90" t="s">
        <v>4790</v>
      </c>
      <c r="B3591" s="90" t="s">
        <v>4791</v>
      </c>
      <c r="C3591" s="90" t="s">
        <v>10</v>
      </c>
      <c r="D3591" s="90" t="str">
        <f>VLOOKUP(Tabela1[[#This Row],[Origem]],'Perguntas 1 a 24'!$J$28:$K$34,2,FALSE)</f>
        <v>Centro-Oeste</v>
      </c>
      <c r="E3591" s="90" t="s">
        <v>14917</v>
      </c>
      <c r="F3591" s="91">
        <v>47656</v>
      </c>
      <c r="G3591" s="92">
        <v>91158</v>
      </c>
      <c r="H3591" s="90" t="s">
        <v>9</v>
      </c>
      <c r="I35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1" s="90" t="s">
        <v>7573</v>
      </c>
    </row>
    <row r="3592" spans="1:11">
      <c r="A3592" s="90" t="s">
        <v>3808</v>
      </c>
      <c r="B3592" s="90" t="s">
        <v>3809</v>
      </c>
      <c r="C3592" s="90" t="s">
        <v>10</v>
      </c>
      <c r="D3592" s="90" t="str">
        <f>VLOOKUP(Tabela1[[#This Row],[Origem]],'Perguntas 1 a 24'!$J$28:$K$34,2,FALSE)</f>
        <v>Centro-Oeste</v>
      </c>
      <c r="E3592" s="90" t="s">
        <v>14918</v>
      </c>
      <c r="F3592" s="91">
        <v>47657</v>
      </c>
      <c r="G3592" s="92">
        <v>65303</v>
      </c>
      <c r="H3592" s="90" t="s">
        <v>11</v>
      </c>
      <c r="I35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2" s="90" t="s">
        <v>5167</v>
      </c>
    </row>
    <row r="3593" spans="1:11">
      <c r="A3593" s="90" t="s">
        <v>7740</v>
      </c>
      <c r="B3593" s="90" t="s">
        <v>7741</v>
      </c>
      <c r="C3593" s="90" t="s">
        <v>10</v>
      </c>
      <c r="D3593" s="90" t="str">
        <f>VLOOKUP(Tabela1[[#This Row],[Origem]],'Perguntas 1 a 24'!$J$28:$K$34,2,FALSE)</f>
        <v>Centro-Oeste</v>
      </c>
      <c r="E3593" s="90" t="s">
        <v>14919</v>
      </c>
      <c r="F3593" s="91">
        <v>47657</v>
      </c>
      <c r="G3593" s="92">
        <v>40098</v>
      </c>
      <c r="H3593" s="90" t="s">
        <v>9</v>
      </c>
      <c r="I35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3" s="90" t="s">
        <v>6783</v>
      </c>
    </row>
    <row r="3594" spans="1:11">
      <c r="A3594" s="90" t="s">
        <v>10543</v>
      </c>
      <c r="B3594" s="90" t="s">
        <v>10544</v>
      </c>
      <c r="C3594" s="90" t="s">
        <v>13</v>
      </c>
      <c r="D3594" s="90" t="str">
        <f>VLOOKUP(Tabela1[[#This Row],[Origem]],'Perguntas 1 a 24'!$J$28:$K$34,2,FALSE)</f>
        <v>Sudeste</v>
      </c>
      <c r="E3594" s="90" t="s">
        <v>14920</v>
      </c>
      <c r="F3594" s="91">
        <v>47657</v>
      </c>
      <c r="G3594" s="92">
        <v>57663</v>
      </c>
      <c r="H3594" s="90" t="s">
        <v>11</v>
      </c>
      <c r="I35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4" s="90" t="s">
        <v>10350</v>
      </c>
    </row>
    <row r="3595" spans="1:11">
      <c r="A3595" s="90" t="s">
        <v>8801</v>
      </c>
      <c r="B3595" s="90" t="s">
        <v>8802</v>
      </c>
      <c r="C3595" s="90" t="s">
        <v>12</v>
      </c>
      <c r="D3595" s="90" t="str">
        <f>VLOOKUP(Tabela1[[#This Row],[Origem]],'Perguntas 1 a 24'!$J$28:$K$34,2,FALSE)</f>
        <v>Sudeste</v>
      </c>
      <c r="E3595" s="90" t="s">
        <v>14921</v>
      </c>
      <c r="F3595" s="91">
        <v>47659</v>
      </c>
      <c r="G3595" s="92">
        <v>94293</v>
      </c>
      <c r="H3595" s="90" t="s">
        <v>7</v>
      </c>
      <c r="I35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5" s="90" t="s">
        <v>3815</v>
      </c>
    </row>
    <row r="3596" spans="1:11">
      <c r="A3596" s="90" t="s">
        <v>10197</v>
      </c>
      <c r="B3596" s="90" t="s">
        <v>10198</v>
      </c>
      <c r="C3596" s="90" t="s">
        <v>13</v>
      </c>
      <c r="D3596" s="90" t="str">
        <f>VLOOKUP(Tabela1[[#This Row],[Origem]],'Perguntas 1 a 24'!$J$28:$K$34,2,FALSE)</f>
        <v>Sudeste</v>
      </c>
      <c r="E3596" s="90" t="s">
        <v>14922</v>
      </c>
      <c r="F3596" s="91">
        <v>47660</v>
      </c>
      <c r="G3596" s="92">
        <v>108055</v>
      </c>
      <c r="H3596" s="90" t="s">
        <v>14</v>
      </c>
      <c r="I35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6" s="90" t="s">
        <v>3917</v>
      </c>
    </row>
    <row r="3597" spans="1:11">
      <c r="A3597" s="90" t="s">
        <v>6230</v>
      </c>
      <c r="B3597" s="90" t="s">
        <v>6231</v>
      </c>
      <c r="C3597" s="90" t="s">
        <v>10</v>
      </c>
      <c r="D3597" s="90" t="str">
        <f>VLOOKUP(Tabela1[[#This Row],[Origem]],'Perguntas 1 a 24'!$J$28:$K$34,2,FALSE)</f>
        <v>Centro-Oeste</v>
      </c>
      <c r="E3597" s="90" t="s">
        <v>14923</v>
      </c>
      <c r="F3597" s="91">
        <v>47661</v>
      </c>
      <c r="G3597" s="92">
        <v>96383</v>
      </c>
      <c r="H3597" s="90" t="s">
        <v>7</v>
      </c>
      <c r="I35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7" s="90" t="s">
        <v>8107</v>
      </c>
    </row>
    <row r="3598" spans="1:11">
      <c r="A3598" s="90" t="s">
        <v>6264</v>
      </c>
      <c r="B3598" s="90" t="s">
        <v>6265</v>
      </c>
      <c r="C3598" s="90" t="s">
        <v>16</v>
      </c>
      <c r="D3598" s="90" t="str">
        <f>VLOOKUP(Tabela1[[#This Row],[Origem]],'Perguntas 1 a 24'!$J$28:$K$34,2,FALSE)</f>
        <v>Sudeste</v>
      </c>
      <c r="E3598" s="90" t="s">
        <v>14924</v>
      </c>
      <c r="F3598" s="91">
        <v>47661</v>
      </c>
      <c r="G3598" s="92">
        <v>42487</v>
      </c>
      <c r="H3598" s="90" t="s">
        <v>7</v>
      </c>
      <c r="I35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8" s="90" t="s">
        <v>5157</v>
      </c>
    </row>
    <row r="3599" spans="1:11">
      <c r="A3599" s="90" t="s">
        <v>6450</v>
      </c>
      <c r="B3599" s="90" t="s">
        <v>6451</v>
      </c>
      <c r="C3599" s="90" t="s">
        <v>8</v>
      </c>
      <c r="D3599" s="90" t="str">
        <f>VLOOKUP(Tabela1[[#This Row],[Origem]],'Perguntas 1 a 24'!$J$28:$K$34,2,FALSE)</f>
        <v>Nordeste</v>
      </c>
      <c r="E3599" s="90" t="s">
        <v>14925</v>
      </c>
      <c r="F3599" s="91">
        <v>47662</v>
      </c>
      <c r="G3599" s="92">
        <v>39158</v>
      </c>
      <c r="H3599" s="90" t="s">
        <v>14</v>
      </c>
      <c r="I35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599" s="90" t="s">
        <v>7647</v>
      </c>
    </row>
    <row r="3600" spans="1:11">
      <c r="A3600" s="90" t="s">
        <v>6840</v>
      </c>
      <c r="B3600" s="90" t="s">
        <v>6841</v>
      </c>
      <c r="C3600" s="90" t="s">
        <v>8</v>
      </c>
      <c r="D3600" s="90" t="str">
        <f>VLOOKUP(Tabela1[[#This Row],[Origem]],'Perguntas 1 a 24'!$J$28:$K$34,2,FALSE)</f>
        <v>Nordeste</v>
      </c>
      <c r="E3600" s="90" t="s">
        <v>14926</v>
      </c>
      <c r="F3600" s="91">
        <v>47662</v>
      </c>
      <c r="G3600" s="92">
        <v>24610</v>
      </c>
      <c r="H3600" s="90" t="s">
        <v>7</v>
      </c>
      <c r="I36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0" s="90" t="s">
        <v>10348</v>
      </c>
    </row>
    <row r="3601" spans="1:11">
      <c r="A3601" s="90" t="s">
        <v>6886</v>
      </c>
      <c r="B3601" s="90" t="s">
        <v>6887</v>
      </c>
      <c r="C3601" s="90" t="s">
        <v>16</v>
      </c>
      <c r="D3601" s="90" t="str">
        <f>VLOOKUP(Tabela1[[#This Row],[Origem]],'Perguntas 1 a 24'!$J$28:$K$34,2,FALSE)</f>
        <v>Sudeste</v>
      </c>
      <c r="E3601" s="90" t="s">
        <v>14927</v>
      </c>
      <c r="F3601" s="91">
        <v>47662</v>
      </c>
      <c r="G3601" s="92">
        <v>113030</v>
      </c>
      <c r="H3601" s="90" t="s">
        <v>11</v>
      </c>
      <c r="I36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1" s="90" t="s">
        <v>6111</v>
      </c>
    </row>
    <row r="3602" spans="1:11">
      <c r="A3602" s="90" t="s">
        <v>10181</v>
      </c>
      <c r="B3602" s="90" t="s">
        <v>10182</v>
      </c>
      <c r="C3602" s="90" t="s">
        <v>8</v>
      </c>
      <c r="D3602" s="90" t="str">
        <f>VLOOKUP(Tabela1[[#This Row],[Origem]],'Perguntas 1 a 24'!$J$28:$K$34,2,FALSE)</f>
        <v>Nordeste</v>
      </c>
      <c r="E3602" s="90" t="s">
        <v>14928</v>
      </c>
      <c r="F3602" s="91">
        <v>47663</v>
      </c>
      <c r="G3602" s="92">
        <v>81341</v>
      </c>
      <c r="H3602" s="90" t="s">
        <v>9</v>
      </c>
      <c r="I36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2" s="90" t="s">
        <v>9496</v>
      </c>
    </row>
    <row r="3603" spans="1:11">
      <c r="A3603" s="90" t="s">
        <v>10215</v>
      </c>
      <c r="B3603" s="90" t="s">
        <v>10216</v>
      </c>
      <c r="C3603" s="90" t="s">
        <v>16</v>
      </c>
      <c r="D3603" s="90" t="str">
        <f>VLOOKUP(Tabela1[[#This Row],[Origem]],'Perguntas 1 a 24'!$J$28:$K$34,2,FALSE)</f>
        <v>Sudeste</v>
      </c>
      <c r="E3603" s="90" t="s">
        <v>14929</v>
      </c>
      <c r="F3603" s="91">
        <v>47663</v>
      </c>
      <c r="G3603" s="92">
        <v>53066</v>
      </c>
      <c r="H3603" s="90" t="s">
        <v>7</v>
      </c>
      <c r="I36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3" s="90" t="s">
        <v>10540</v>
      </c>
    </row>
    <row r="3604" spans="1:11">
      <c r="A3604" s="90" t="s">
        <v>7572</v>
      </c>
      <c r="B3604" s="90" t="s">
        <v>7573</v>
      </c>
      <c r="C3604" s="90" t="s">
        <v>8</v>
      </c>
      <c r="D3604" s="90" t="str">
        <f>VLOOKUP(Tabela1[[#This Row],[Origem]],'Perguntas 1 a 24'!$J$28:$K$34,2,FALSE)</f>
        <v>Nordeste</v>
      </c>
      <c r="E3604" s="90" t="s">
        <v>14930</v>
      </c>
      <c r="F3604" s="91">
        <v>47664</v>
      </c>
      <c r="G3604" s="92">
        <v>65901</v>
      </c>
      <c r="H3604" s="90" t="s">
        <v>7</v>
      </c>
      <c r="I36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4" s="90" t="s">
        <v>11226</v>
      </c>
    </row>
    <row r="3605" spans="1:11">
      <c r="A3605" s="90" t="s">
        <v>5166</v>
      </c>
      <c r="B3605" s="90" t="s">
        <v>5167</v>
      </c>
      <c r="C3605" s="90" t="s">
        <v>8</v>
      </c>
      <c r="D3605" s="90" t="str">
        <f>VLOOKUP(Tabela1[[#This Row],[Origem]],'Perguntas 1 a 24'!$J$28:$K$34,2,FALSE)</f>
        <v>Nordeste</v>
      </c>
      <c r="E3605" s="90" t="s">
        <v>14931</v>
      </c>
      <c r="F3605" s="91">
        <v>47665</v>
      </c>
      <c r="G3605" s="92">
        <v>31694</v>
      </c>
      <c r="H3605" s="90" t="s">
        <v>9</v>
      </c>
      <c r="I36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5" s="90" t="s">
        <v>11182</v>
      </c>
    </row>
    <row r="3606" spans="1:11">
      <c r="A3606" s="90" t="s">
        <v>6782</v>
      </c>
      <c r="B3606" s="90" t="s">
        <v>6783</v>
      </c>
      <c r="C3606" s="90" t="s">
        <v>8</v>
      </c>
      <c r="D3606" s="90" t="str">
        <f>VLOOKUP(Tabela1[[#This Row],[Origem]],'Perguntas 1 a 24'!$J$28:$K$34,2,FALSE)</f>
        <v>Nordeste</v>
      </c>
      <c r="E3606" s="90" t="s">
        <v>14932</v>
      </c>
      <c r="F3606" s="91">
        <v>47665</v>
      </c>
      <c r="G3606" s="92">
        <v>71071</v>
      </c>
      <c r="H3606" s="90" t="s">
        <v>7</v>
      </c>
      <c r="I36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6" s="90" t="s">
        <v>3783</v>
      </c>
    </row>
    <row r="3607" spans="1:11">
      <c r="A3607" s="90" t="s">
        <v>10349</v>
      </c>
      <c r="B3607" s="90" t="s">
        <v>10350</v>
      </c>
      <c r="C3607" s="90" t="s">
        <v>6</v>
      </c>
      <c r="D3607" s="90" t="str">
        <f>VLOOKUP(Tabela1[[#This Row],[Origem]],'Perguntas 1 a 24'!$J$28:$K$34,2,FALSE)</f>
        <v>Nordeste</v>
      </c>
      <c r="E3607" s="90" t="s">
        <v>14933</v>
      </c>
      <c r="F3607" s="91">
        <v>47665</v>
      </c>
      <c r="G3607" s="92">
        <v>119933</v>
      </c>
      <c r="H3607" s="90" t="s">
        <v>9</v>
      </c>
      <c r="I36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7" s="90" t="s">
        <v>4963</v>
      </c>
    </row>
    <row r="3608" spans="1:11">
      <c r="A3608" s="90" t="s">
        <v>3814</v>
      </c>
      <c r="B3608" s="90" t="s">
        <v>3815</v>
      </c>
      <c r="C3608" s="90" t="s">
        <v>8</v>
      </c>
      <c r="D3608" s="90" t="str">
        <f>VLOOKUP(Tabela1[[#This Row],[Origem]],'Perguntas 1 a 24'!$J$28:$K$34,2,FALSE)</f>
        <v>Nordeste</v>
      </c>
      <c r="E3608" s="90" t="s">
        <v>14934</v>
      </c>
      <c r="F3608" s="91">
        <v>47666</v>
      </c>
      <c r="G3608" s="92">
        <v>36950</v>
      </c>
      <c r="H3608" s="90" t="s">
        <v>14</v>
      </c>
      <c r="I36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8" s="90" t="s">
        <v>9940</v>
      </c>
    </row>
    <row r="3609" spans="1:11">
      <c r="A3609" s="90" t="s">
        <v>3916</v>
      </c>
      <c r="B3609" s="90" t="s">
        <v>3917</v>
      </c>
      <c r="C3609" s="90" t="s">
        <v>12</v>
      </c>
      <c r="D3609" s="90" t="str">
        <f>VLOOKUP(Tabela1[[#This Row],[Origem]],'Perguntas 1 a 24'!$J$28:$K$34,2,FALSE)</f>
        <v>Sudeste</v>
      </c>
      <c r="E3609" s="90" t="s">
        <v>14935</v>
      </c>
      <c r="F3609" s="91">
        <v>47666</v>
      </c>
      <c r="G3609" s="92">
        <v>63715</v>
      </c>
      <c r="H3609" s="90" t="s">
        <v>11</v>
      </c>
      <c r="I36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09" s="90" t="s">
        <v>4865</v>
      </c>
    </row>
    <row r="3610" spans="1:11">
      <c r="A3610" s="90" t="s">
        <v>8106</v>
      </c>
      <c r="B3610" s="90" t="s">
        <v>8107</v>
      </c>
      <c r="C3610" s="90" t="s">
        <v>13</v>
      </c>
      <c r="D3610" s="90" t="str">
        <f>VLOOKUP(Tabela1[[#This Row],[Origem]],'Perguntas 1 a 24'!$J$28:$K$34,2,FALSE)</f>
        <v>Sudeste</v>
      </c>
      <c r="E3610" s="90" t="s">
        <v>14936</v>
      </c>
      <c r="F3610" s="91">
        <v>47668</v>
      </c>
      <c r="G3610" s="92">
        <v>65053</v>
      </c>
      <c r="H3610" s="90" t="s">
        <v>14</v>
      </c>
      <c r="I36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0" s="90" t="s">
        <v>8503</v>
      </c>
    </row>
    <row r="3611" spans="1:11">
      <c r="A3611" s="90" t="s">
        <v>5156</v>
      </c>
      <c r="B3611" s="90" t="s">
        <v>5157</v>
      </c>
      <c r="C3611" s="90" t="s">
        <v>15</v>
      </c>
      <c r="D3611" s="90" t="str">
        <f>VLOOKUP(Tabela1[[#This Row],[Origem]],'Perguntas 1 a 24'!$J$28:$K$34,2,FALSE)</f>
        <v>Sudeste</v>
      </c>
      <c r="E3611" s="90" t="s">
        <v>14937</v>
      </c>
      <c r="F3611" s="91">
        <v>47669</v>
      </c>
      <c r="G3611" s="92">
        <v>53065</v>
      </c>
      <c r="H3611" s="90" t="s">
        <v>14</v>
      </c>
      <c r="I36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1" s="90" t="s">
        <v>8870</v>
      </c>
    </row>
    <row r="3612" spans="1:11">
      <c r="A3612" s="90" t="s">
        <v>7646</v>
      </c>
      <c r="B3612" s="90" t="s">
        <v>7647</v>
      </c>
      <c r="C3612" s="90" t="s">
        <v>8</v>
      </c>
      <c r="D3612" s="90" t="str">
        <f>VLOOKUP(Tabela1[[#This Row],[Origem]],'Perguntas 1 a 24'!$J$28:$K$34,2,FALSE)</f>
        <v>Nordeste</v>
      </c>
      <c r="E3612" s="90" t="s">
        <v>14938</v>
      </c>
      <c r="F3612" s="91">
        <v>47669</v>
      </c>
      <c r="G3612" s="92">
        <v>114786</v>
      </c>
      <c r="H3612" s="90" t="s">
        <v>9</v>
      </c>
      <c r="I36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2" s="90" t="s">
        <v>9470</v>
      </c>
    </row>
    <row r="3613" spans="1:11">
      <c r="A3613" s="90" t="s">
        <v>10347</v>
      </c>
      <c r="B3613" s="90" t="s">
        <v>10348</v>
      </c>
      <c r="C3613" s="90" t="s">
        <v>8</v>
      </c>
      <c r="D3613" s="90" t="str">
        <f>VLOOKUP(Tabela1[[#This Row],[Origem]],'Perguntas 1 a 24'!$J$28:$K$34,2,FALSE)</f>
        <v>Nordeste</v>
      </c>
      <c r="E3613" s="90" t="s">
        <v>14939</v>
      </c>
      <c r="F3613" s="91">
        <v>47670</v>
      </c>
      <c r="G3613" s="92">
        <v>104550</v>
      </c>
      <c r="H3613" s="90" t="s">
        <v>14</v>
      </c>
      <c r="I36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3" s="90" t="s">
        <v>3995</v>
      </c>
    </row>
    <row r="3614" spans="1:11">
      <c r="A3614" s="90" t="s">
        <v>6110</v>
      </c>
      <c r="B3614" s="90" t="s">
        <v>6111</v>
      </c>
      <c r="C3614" s="90" t="s">
        <v>6</v>
      </c>
      <c r="D3614" s="90" t="str">
        <f>VLOOKUP(Tabela1[[#This Row],[Origem]],'Perguntas 1 a 24'!$J$28:$K$34,2,FALSE)</f>
        <v>Nordeste</v>
      </c>
      <c r="E3614" s="90" t="s">
        <v>14940</v>
      </c>
      <c r="F3614" s="91">
        <v>47671</v>
      </c>
      <c r="G3614" s="92">
        <v>108446</v>
      </c>
      <c r="H3614" s="90" t="s">
        <v>11</v>
      </c>
      <c r="I36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4" s="90" t="s">
        <v>7871</v>
      </c>
    </row>
    <row r="3615" spans="1:11">
      <c r="A3615" s="90" t="s">
        <v>9495</v>
      </c>
      <c r="B3615" s="90" t="s">
        <v>9496</v>
      </c>
      <c r="C3615" s="90" t="s">
        <v>8</v>
      </c>
      <c r="D3615" s="90" t="str">
        <f>VLOOKUP(Tabela1[[#This Row],[Origem]],'Perguntas 1 a 24'!$J$28:$K$34,2,FALSE)</f>
        <v>Nordeste</v>
      </c>
      <c r="E3615" s="90" t="s">
        <v>14941</v>
      </c>
      <c r="F3615" s="91">
        <v>47671</v>
      </c>
      <c r="G3615" s="92">
        <v>70722</v>
      </c>
      <c r="H3615" s="90" t="s">
        <v>11</v>
      </c>
      <c r="I36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5" s="90" t="s">
        <v>8055</v>
      </c>
    </row>
    <row r="3616" spans="1:11">
      <c r="A3616" s="90" t="s">
        <v>10539</v>
      </c>
      <c r="B3616" s="90" t="s">
        <v>10540</v>
      </c>
      <c r="C3616" s="90" t="s">
        <v>16</v>
      </c>
      <c r="D3616" s="90" t="str">
        <f>VLOOKUP(Tabela1[[#This Row],[Origem]],'Perguntas 1 a 24'!$J$28:$K$34,2,FALSE)</f>
        <v>Sudeste</v>
      </c>
      <c r="E3616" s="90" t="s">
        <v>14942</v>
      </c>
      <c r="F3616" s="91">
        <v>47671</v>
      </c>
      <c r="G3616" s="92">
        <v>83241</v>
      </c>
      <c r="H3616" s="90" t="s">
        <v>14</v>
      </c>
      <c r="I36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6" s="90" t="s">
        <v>4631</v>
      </c>
    </row>
    <row r="3617" spans="1:11">
      <c r="A3617" s="90" t="s">
        <v>11225</v>
      </c>
      <c r="B3617" s="90" t="s">
        <v>11226</v>
      </c>
      <c r="C3617" s="90" t="s">
        <v>16</v>
      </c>
      <c r="D3617" s="90" t="str">
        <f>VLOOKUP(Tabela1[[#This Row],[Origem]],'Perguntas 1 a 24'!$J$28:$K$34,2,FALSE)</f>
        <v>Sudeste</v>
      </c>
      <c r="E3617" s="90" t="s">
        <v>14943</v>
      </c>
      <c r="F3617" s="91">
        <v>47671</v>
      </c>
      <c r="G3617" s="92">
        <v>77510</v>
      </c>
      <c r="H3617" s="90" t="s">
        <v>14</v>
      </c>
      <c r="I36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7" s="90" t="s">
        <v>5309</v>
      </c>
    </row>
    <row r="3618" spans="1:11">
      <c r="A3618" s="90" t="s">
        <v>11181</v>
      </c>
      <c r="B3618" s="90" t="s">
        <v>11182</v>
      </c>
      <c r="C3618" s="90" t="s">
        <v>13</v>
      </c>
      <c r="D3618" s="90" t="str">
        <f>VLOOKUP(Tabela1[[#This Row],[Origem]],'Perguntas 1 a 24'!$J$28:$K$34,2,FALSE)</f>
        <v>Sudeste</v>
      </c>
      <c r="E3618" s="90" t="s">
        <v>14944</v>
      </c>
      <c r="F3618" s="91">
        <v>47672</v>
      </c>
      <c r="G3618" s="92">
        <v>23602</v>
      </c>
      <c r="H3618" s="90" t="s">
        <v>14</v>
      </c>
      <c r="I36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8" s="90" t="s">
        <v>9876</v>
      </c>
    </row>
    <row r="3619" spans="1:11">
      <c r="A3619" s="90" t="s">
        <v>3782</v>
      </c>
      <c r="B3619" s="90" t="s">
        <v>3783</v>
      </c>
      <c r="C3619" s="90" t="s">
        <v>10</v>
      </c>
      <c r="D3619" s="90" t="str">
        <f>VLOOKUP(Tabela1[[#This Row],[Origem]],'Perguntas 1 a 24'!$J$28:$K$34,2,FALSE)</f>
        <v>Centro-Oeste</v>
      </c>
      <c r="E3619" s="90" t="s">
        <v>14945</v>
      </c>
      <c r="F3619" s="91">
        <v>47673</v>
      </c>
      <c r="G3619" s="92">
        <v>85021</v>
      </c>
      <c r="H3619" s="90" t="s">
        <v>7</v>
      </c>
      <c r="I36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19" s="90" t="s">
        <v>6583</v>
      </c>
    </row>
    <row r="3620" spans="1:11">
      <c r="A3620" s="90" t="s">
        <v>4962</v>
      </c>
      <c r="B3620" s="90" t="s">
        <v>4963</v>
      </c>
      <c r="C3620" s="90" t="s">
        <v>16</v>
      </c>
      <c r="D3620" s="90" t="str">
        <f>VLOOKUP(Tabela1[[#This Row],[Origem]],'Perguntas 1 a 24'!$J$28:$K$34,2,FALSE)</f>
        <v>Sudeste</v>
      </c>
      <c r="E3620" s="90" t="s">
        <v>14946</v>
      </c>
      <c r="F3620" s="91">
        <v>47673</v>
      </c>
      <c r="G3620" s="92">
        <v>55260</v>
      </c>
      <c r="H3620" s="90" t="s">
        <v>14</v>
      </c>
      <c r="I36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0" s="90" t="s">
        <v>10794</v>
      </c>
    </row>
    <row r="3621" spans="1:11">
      <c r="A3621" s="90" t="s">
        <v>9939</v>
      </c>
      <c r="B3621" s="90" t="s">
        <v>9940</v>
      </c>
      <c r="C3621" s="90" t="s">
        <v>15</v>
      </c>
      <c r="D3621" s="90" t="str">
        <f>VLOOKUP(Tabela1[[#This Row],[Origem]],'Perguntas 1 a 24'!$J$28:$K$34,2,FALSE)</f>
        <v>Sudeste</v>
      </c>
      <c r="E3621" s="90" t="s">
        <v>14947</v>
      </c>
      <c r="F3621" s="91">
        <v>47673</v>
      </c>
      <c r="G3621" s="92">
        <v>98921</v>
      </c>
      <c r="H3621" s="90" t="s">
        <v>7</v>
      </c>
      <c r="I36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1" s="90" t="s">
        <v>9070</v>
      </c>
    </row>
    <row r="3622" spans="1:11">
      <c r="A3622" s="90" t="s">
        <v>4864</v>
      </c>
      <c r="B3622" s="90" t="s">
        <v>4865</v>
      </c>
      <c r="C3622" s="90" t="s">
        <v>16</v>
      </c>
      <c r="D3622" s="90" t="str">
        <f>VLOOKUP(Tabela1[[#This Row],[Origem]],'Perguntas 1 a 24'!$J$28:$K$34,2,FALSE)</f>
        <v>Sudeste</v>
      </c>
      <c r="E3622" s="90" t="s">
        <v>14948</v>
      </c>
      <c r="F3622" s="91">
        <v>47674</v>
      </c>
      <c r="G3622" s="92">
        <v>59286</v>
      </c>
      <c r="H3622" s="90" t="s">
        <v>9</v>
      </c>
      <c r="I36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2" s="90" t="s">
        <v>10172</v>
      </c>
    </row>
    <row r="3623" spans="1:11">
      <c r="A3623" s="90" t="s">
        <v>8502</v>
      </c>
      <c r="B3623" s="90" t="s">
        <v>8503</v>
      </c>
      <c r="C3623" s="90" t="s">
        <v>10</v>
      </c>
      <c r="D3623" s="90" t="str">
        <f>VLOOKUP(Tabela1[[#This Row],[Origem]],'Perguntas 1 a 24'!$J$28:$K$34,2,FALSE)</f>
        <v>Centro-Oeste</v>
      </c>
      <c r="E3623" s="90" t="s">
        <v>14949</v>
      </c>
      <c r="F3623" s="91">
        <v>47674</v>
      </c>
      <c r="G3623" s="92">
        <v>87252</v>
      </c>
      <c r="H3623" s="90" t="s">
        <v>9</v>
      </c>
      <c r="I36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3" s="90" t="s">
        <v>3895</v>
      </c>
    </row>
    <row r="3624" spans="1:11">
      <c r="A3624" s="90" t="s">
        <v>8869</v>
      </c>
      <c r="B3624" s="90" t="s">
        <v>8870</v>
      </c>
      <c r="C3624" s="90" t="s">
        <v>8</v>
      </c>
      <c r="D3624" s="90" t="str">
        <f>VLOOKUP(Tabela1[[#This Row],[Origem]],'Perguntas 1 a 24'!$J$28:$K$34,2,FALSE)</f>
        <v>Nordeste</v>
      </c>
      <c r="E3624" s="90" t="s">
        <v>14950</v>
      </c>
      <c r="F3624" s="91">
        <v>47674</v>
      </c>
      <c r="G3624" s="92">
        <v>84604</v>
      </c>
      <c r="H3624" s="90" t="s">
        <v>9</v>
      </c>
      <c r="I36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4" s="90" t="s">
        <v>6555</v>
      </c>
    </row>
    <row r="3625" spans="1:11">
      <c r="A3625" s="90" t="s">
        <v>9469</v>
      </c>
      <c r="B3625" s="90" t="s">
        <v>9470</v>
      </c>
      <c r="C3625" s="90" t="s">
        <v>13</v>
      </c>
      <c r="D3625" s="90" t="str">
        <f>VLOOKUP(Tabela1[[#This Row],[Origem]],'Perguntas 1 a 24'!$J$28:$K$34,2,FALSE)</f>
        <v>Sudeste</v>
      </c>
      <c r="E3625" s="90" t="s">
        <v>14951</v>
      </c>
      <c r="F3625" s="91">
        <v>47674</v>
      </c>
      <c r="G3625" s="92">
        <v>55329</v>
      </c>
      <c r="H3625" s="90" t="s">
        <v>9</v>
      </c>
      <c r="I36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5" s="90" t="s">
        <v>8041</v>
      </c>
    </row>
    <row r="3626" spans="1:11">
      <c r="A3626" s="90" t="s">
        <v>3994</v>
      </c>
      <c r="B3626" s="90" t="s">
        <v>3995</v>
      </c>
      <c r="C3626" s="90" t="s">
        <v>6</v>
      </c>
      <c r="D3626" s="90" t="str">
        <f>VLOOKUP(Tabela1[[#This Row],[Origem]],'Perguntas 1 a 24'!$J$28:$K$34,2,FALSE)</f>
        <v>Nordeste</v>
      </c>
      <c r="E3626" s="90" t="s">
        <v>14952</v>
      </c>
      <c r="F3626" s="91">
        <v>47675</v>
      </c>
      <c r="G3626" s="92">
        <v>103971</v>
      </c>
      <c r="H3626" s="90" t="s">
        <v>7</v>
      </c>
      <c r="I36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6" s="90" t="s">
        <v>3921</v>
      </c>
    </row>
    <row r="3627" spans="1:11">
      <c r="A3627" s="90" t="s">
        <v>7870</v>
      </c>
      <c r="B3627" s="90" t="s">
        <v>7871</v>
      </c>
      <c r="C3627" s="90" t="s">
        <v>6</v>
      </c>
      <c r="D3627" s="90" t="str">
        <f>VLOOKUP(Tabela1[[#This Row],[Origem]],'Perguntas 1 a 24'!$J$28:$K$34,2,FALSE)</f>
        <v>Nordeste</v>
      </c>
      <c r="E3627" s="90" t="s">
        <v>14953</v>
      </c>
      <c r="F3627" s="91">
        <v>47675</v>
      </c>
      <c r="G3627" s="92">
        <v>69775</v>
      </c>
      <c r="H3627" s="90" t="s">
        <v>11</v>
      </c>
      <c r="I36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7" s="90" t="s">
        <v>8529</v>
      </c>
    </row>
    <row r="3628" spans="1:11">
      <c r="A3628" s="90" t="s">
        <v>8054</v>
      </c>
      <c r="B3628" s="90" t="s">
        <v>8055</v>
      </c>
      <c r="C3628" s="90" t="s">
        <v>15</v>
      </c>
      <c r="D3628" s="90" t="str">
        <f>VLOOKUP(Tabela1[[#This Row],[Origem]],'Perguntas 1 a 24'!$J$28:$K$34,2,FALSE)</f>
        <v>Sudeste</v>
      </c>
      <c r="E3628" s="90" t="s">
        <v>14954</v>
      </c>
      <c r="F3628" s="91">
        <v>47675</v>
      </c>
      <c r="G3628" s="92">
        <v>34639</v>
      </c>
      <c r="H3628" s="90" t="s">
        <v>14</v>
      </c>
      <c r="I36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8" s="90" t="s">
        <v>9330</v>
      </c>
    </row>
    <row r="3629" spans="1:11">
      <c r="A3629" s="90" t="s">
        <v>4630</v>
      </c>
      <c r="B3629" s="90" t="s">
        <v>4631</v>
      </c>
      <c r="C3629" s="90" t="s">
        <v>10</v>
      </c>
      <c r="D3629" s="90" t="str">
        <f>VLOOKUP(Tabela1[[#This Row],[Origem]],'Perguntas 1 a 24'!$J$28:$K$34,2,FALSE)</f>
        <v>Centro-Oeste</v>
      </c>
      <c r="E3629" s="90" t="s">
        <v>14955</v>
      </c>
      <c r="F3629" s="91">
        <v>47676</v>
      </c>
      <c r="G3629" s="92">
        <v>69004</v>
      </c>
      <c r="H3629" s="90" t="s">
        <v>11</v>
      </c>
      <c r="I36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29" s="90" t="s">
        <v>9754</v>
      </c>
    </row>
    <row r="3630" spans="1:11">
      <c r="A3630" s="90" t="s">
        <v>5308</v>
      </c>
      <c r="B3630" s="90" t="s">
        <v>5309</v>
      </c>
      <c r="C3630" s="90" t="s">
        <v>16</v>
      </c>
      <c r="D3630" s="90" t="str">
        <f>VLOOKUP(Tabela1[[#This Row],[Origem]],'Perguntas 1 a 24'!$J$28:$K$34,2,FALSE)</f>
        <v>Sudeste</v>
      </c>
      <c r="E3630" s="90" t="s">
        <v>14956</v>
      </c>
      <c r="F3630" s="91">
        <v>47676</v>
      </c>
      <c r="G3630" s="92">
        <v>44819</v>
      </c>
      <c r="H3630" s="90" t="s">
        <v>14</v>
      </c>
      <c r="I36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0" s="90" t="s">
        <v>4240</v>
      </c>
    </row>
    <row r="3631" spans="1:11">
      <c r="A3631" s="90" t="s">
        <v>9875</v>
      </c>
      <c r="B3631" s="90" t="s">
        <v>9876</v>
      </c>
      <c r="C3631" s="90" t="s">
        <v>12</v>
      </c>
      <c r="D3631" s="90" t="str">
        <f>VLOOKUP(Tabela1[[#This Row],[Origem]],'Perguntas 1 a 24'!$J$28:$K$34,2,FALSE)</f>
        <v>Sudeste</v>
      </c>
      <c r="E3631" s="90" t="s">
        <v>14957</v>
      </c>
      <c r="F3631" s="91">
        <v>47676</v>
      </c>
      <c r="G3631" s="92">
        <v>29186</v>
      </c>
      <c r="H3631" s="90" t="s">
        <v>11</v>
      </c>
      <c r="I36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1" s="90" t="s">
        <v>7467</v>
      </c>
    </row>
    <row r="3632" spans="1:11">
      <c r="A3632" s="90" t="s">
        <v>6582</v>
      </c>
      <c r="B3632" s="90" t="s">
        <v>6583</v>
      </c>
      <c r="C3632" s="90" t="s">
        <v>12</v>
      </c>
      <c r="D3632" s="90" t="str">
        <f>VLOOKUP(Tabela1[[#This Row],[Origem]],'Perguntas 1 a 24'!$J$28:$K$34,2,FALSE)</f>
        <v>Sudeste</v>
      </c>
      <c r="E3632" s="90" t="s">
        <v>14958</v>
      </c>
      <c r="F3632" s="91">
        <v>47677</v>
      </c>
      <c r="G3632" s="92">
        <v>29774</v>
      </c>
      <c r="H3632" s="90" t="s">
        <v>7</v>
      </c>
      <c r="I36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2" s="90" t="s">
        <v>9178</v>
      </c>
    </row>
    <row r="3633" spans="1:11">
      <c r="A3633" s="90" t="s">
        <v>10793</v>
      </c>
      <c r="B3633" s="90" t="s">
        <v>10794</v>
      </c>
      <c r="C3633" s="90" t="s">
        <v>6</v>
      </c>
      <c r="D3633" s="90" t="str">
        <f>VLOOKUP(Tabela1[[#This Row],[Origem]],'Perguntas 1 a 24'!$J$28:$K$34,2,FALSE)</f>
        <v>Nordeste</v>
      </c>
      <c r="E3633" s="90" t="s">
        <v>14959</v>
      </c>
      <c r="F3633" s="91">
        <v>47678</v>
      </c>
      <c r="G3633" s="92">
        <v>101864</v>
      </c>
      <c r="H3633" s="90" t="s">
        <v>11</v>
      </c>
      <c r="I36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3" s="90" t="s">
        <v>11248</v>
      </c>
    </row>
    <row r="3634" spans="1:11">
      <c r="A3634" s="90" t="s">
        <v>9069</v>
      </c>
      <c r="B3634" s="90" t="s">
        <v>9070</v>
      </c>
      <c r="C3634" s="90" t="s">
        <v>16</v>
      </c>
      <c r="D3634" s="90" t="str">
        <f>VLOOKUP(Tabela1[[#This Row],[Origem]],'Perguntas 1 a 24'!$J$28:$K$34,2,FALSE)</f>
        <v>Sudeste</v>
      </c>
      <c r="E3634" s="90" t="s">
        <v>14960</v>
      </c>
      <c r="F3634" s="91">
        <v>47679</v>
      </c>
      <c r="G3634" s="92">
        <v>64284</v>
      </c>
      <c r="H3634" s="90" t="s">
        <v>9</v>
      </c>
      <c r="I36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4" s="90" t="s">
        <v>3799</v>
      </c>
    </row>
    <row r="3635" spans="1:11">
      <c r="A3635" s="90" t="s">
        <v>10171</v>
      </c>
      <c r="B3635" s="90" t="s">
        <v>10172</v>
      </c>
      <c r="C3635" s="90" t="s">
        <v>10</v>
      </c>
      <c r="D3635" s="90" t="str">
        <f>VLOOKUP(Tabela1[[#This Row],[Origem]],'Perguntas 1 a 24'!$J$28:$K$34,2,FALSE)</f>
        <v>Centro-Oeste</v>
      </c>
      <c r="E3635" s="90" t="s">
        <v>14961</v>
      </c>
      <c r="F3635" s="91">
        <v>47680</v>
      </c>
      <c r="G3635" s="92">
        <v>75237</v>
      </c>
      <c r="H3635" s="90" t="s">
        <v>14</v>
      </c>
      <c r="I36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5" s="90" t="s">
        <v>4334</v>
      </c>
    </row>
    <row r="3636" spans="1:11">
      <c r="A3636" s="90" t="s">
        <v>3894</v>
      </c>
      <c r="B3636" s="90" t="s">
        <v>3895</v>
      </c>
      <c r="C3636" s="90" t="s">
        <v>8</v>
      </c>
      <c r="D3636" s="90" t="str">
        <f>VLOOKUP(Tabela1[[#This Row],[Origem]],'Perguntas 1 a 24'!$J$28:$K$34,2,FALSE)</f>
        <v>Nordeste</v>
      </c>
      <c r="E3636" s="90" t="s">
        <v>14962</v>
      </c>
      <c r="F3636" s="91">
        <v>47681</v>
      </c>
      <c r="G3636" s="92">
        <v>77620</v>
      </c>
      <c r="H3636" s="90" t="s">
        <v>7</v>
      </c>
      <c r="I36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6" s="90" t="s">
        <v>5933</v>
      </c>
    </row>
    <row r="3637" spans="1:11">
      <c r="A3637" s="90" t="s">
        <v>6554</v>
      </c>
      <c r="B3637" s="90" t="s">
        <v>6555</v>
      </c>
      <c r="C3637" s="90" t="s">
        <v>16</v>
      </c>
      <c r="D3637" s="90" t="str">
        <f>VLOOKUP(Tabela1[[#This Row],[Origem]],'Perguntas 1 a 24'!$J$28:$K$34,2,FALSE)</f>
        <v>Sudeste</v>
      </c>
      <c r="E3637" s="90" t="s">
        <v>14963</v>
      </c>
      <c r="F3637" s="91">
        <v>47681</v>
      </c>
      <c r="G3637" s="92">
        <v>98389</v>
      </c>
      <c r="H3637" s="90" t="s">
        <v>9</v>
      </c>
      <c r="I36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7" s="90" t="s">
        <v>4202</v>
      </c>
    </row>
    <row r="3638" spans="1:11">
      <c r="A3638" s="90" t="s">
        <v>8040</v>
      </c>
      <c r="B3638" s="90" t="s">
        <v>8041</v>
      </c>
      <c r="C3638" s="90" t="s">
        <v>12</v>
      </c>
      <c r="D3638" s="90" t="str">
        <f>VLOOKUP(Tabela1[[#This Row],[Origem]],'Perguntas 1 a 24'!$J$28:$K$34,2,FALSE)</f>
        <v>Sudeste</v>
      </c>
      <c r="E3638" s="90" t="s">
        <v>14964</v>
      </c>
      <c r="F3638" s="91">
        <v>47681</v>
      </c>
      <c r="G3638" s="92">
        <v>27988</v>
      </c>
      <c r="H3638" s="90" t="s">
        <v>11</v>
      </c>
      <c r="I36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8" s="90" t="s">
        <v>5625</v>
      </c>
    </row>
    <row r="3639" spans="1:11">
      <c r="A3639" s="90" t="s">
        <v>3920</v>
      </c>
      <c r="B3639" s="90" t="s">
        <v>3921</v>
      </c>
      <c r="C3639" s="90" t="s">
        <v>6</v>
      </c>
      <c r="D3639" s="90" t="str">
        <f>VLOOKUP(Tabela1[[#This Row],[Origem]],'Perguntas 1 a 24'!$J$28:$K$34,2,FALSE)</f>
        <v>Nordeste</v>
      </c>
      <c r="E3639" s="90" t="s">
        <v>14965</v>
      </c>
      <c r="F3639" s="91">
        <v>47682</v>
      </c>
      <c r="G3639" s="92">
        <v>46210</v>
      </c>
      <c r="H3639" s="90" t="s">
        <v>7</v>
      </c>
      <c r="I36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39" s="90" t="s">
        <v>5673</v>
      </c>
    </row>
    <row r="3640" spans="1:11">
      <c r="A3640" s="90" t="s">
        <v>8528</v>
      </c>
      <c r="B3640" s="90" t="s">
        <v>8529</v>
      </c>
      <c r="C3640" s="90" t="s">
        <v>12</v>
      </c>
      <c r="D3640" s="90" t="str">
        <f>VLOOKUP(Tabela1[[#This Row],[Origem]],'Perguntas 1 a 24'!$J$28:$K$34,2,FALSE)</f>
        <v>Sudeste</v>
      </c>
      <c r="E3640" s="90" t="s">
        <v>14966</v>
      </c>
      <c r="F3640" s="91">
        <v>47683</v>
      </c>
      <c r="G3640" s="92">
        <v>86043</v>
      </c>
      <c r="H3640" s="90" t="s">
        <v>7</v>
      </c>
      <c r="I36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0" s="90" t="s">
        <v>10008</v>
      </c>
    </row>
    <row r="3641" spans="1:11">
      <c r="A3641" s="90" t="s">
        <v>9329</v>
      </c>
      <c r="B3641" s="90" t="s">
        <v>9330</v>
      </c>
      <c r="C3641" s="90" t="s">
        <v>8</v>
      </c>
      <c r="D3641" s="90" t="str">
        <f>VLOOKUP(Tabela1[[#This Row],[Origem]],'Perguntas 1 a 24'!$J$28:$K$34,2,FALSE)</f>
        <v>Nordeste</v>
      </c>
      <c r="E3641" s="90" t="s">
        <v>14967</v>
      </c>
      <c r="F3641" s="91">
        <v>47683</v>
      </c>
      <c r="G3641" s="92">
        <v>95493</v>
      </c>
      <c r="H3641" s="90" t="s">
        <v>11</v>
      </c>
      <c r="I36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1" s="90" t="s">
        <v>9468</v>
      </c>
    </row>
    <row r="3642" spans="1:11">
      <c r="A3642" s="90" t="s">
        <v>9753</v>
      </c>
      <c r="B3642" s="90" t="s">
        <v>9754</v>
      </c>
      <c r="C3642" s="90" t="s">
        <v>15</v>
      </c>
      <c r="D3642" s="90" t="str">
        <f>VLOOKUP(Tabela1[[#This Row],[Origem]],'Perguntas 1 a 24'!$J$28:$K$34,2,FALSE)</f>
        <v>Sudeste</v>
      </c>
      <c r="E3642" s="90" t="s">
        <v>14968</v>
      </c>
      <c r="F3642" s="91">
        <v>47683</v>
      </c>
      <c r="G3642" s="92">
        <v>80621</v>
      </c>
      <c r="H3642" s="90" t="s">
        <v>11</v>
      </c>
      <c r="I36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2" s="90" t="s">
        <v>10160</v>
      </c>
    </row>
    <row r="3643" spans="1:11">
      <c r="A3643" s="90" t="s">
        <v>4239</v>
      </c>
      <c r="B3643" s="90" t="s">
        <v>4240</v>
      </c>
      <c r="C3643" s="90" t="s">
        <v>8</v>
      </c>
      <c r="D3643" s="90" t="str">
        <f>VLOOKUP(Tabela1[[#This Row],[Origem]],'Perguntas 1 a 24'!$J$28:$K$34,2,FALSE)</f>
        <v>Nordeste</v>
      </c>
      <c r="E3643" s="90" t="s">
        <v>14969</v>
      </c>
      <c r="F3643" s="91">
        <v>47685</v>
      </c>
      <c r="G3643" s="92">
        <v>115073</v>
      </c>
      <c r="H3643" s="90" t="s">
        <v>9</v>
      </c>
      <c r="I36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3" s="90" t="s">
        <v>6957</v>
      </c>
    </row>
    <row r="3644" spans="1:11">
      <c r="A3644" s="90" t="s">
        <v>7466</v>
      </c>
      <c r="B3644" s="90" t="s">
        <v>7467</v>
      </c>
      <c r="C3644" s="90" t="s">
        <v>15</v>
      </c>
      <c r="D3644" s="90" t="str">
        <f>VLOOKUP(Tabela1[[#This Row],[Origem]],'Perguntas 1 a 24'!$J$28:$K$34,2,FALSE)</f>
        <v>Sudeste</v>
      </c>
      <c r="E3644" s="90" t="s">
        <v>14970</v>
      </c>
      <c r="F3644" s="91">
        <v>47685</v>
      </c>
      <c r="G3644" s="92">
        <v>80825</v>
      </c>
      <c r="H3644" s="90" t="s">
        <v>11</v>
      </c>
      <c r="I36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4" s="90" t="s">
        <v>9376</v>
      </c>
    </row>
    <row r="3645" spans="1:11">
      <c r="A3645" s="90" t="s">
        <v>9177</v>
      </c>
      <c r="B3645" s="90" t="s">
        <v>9178</v>
      </c>
      <c r="C3645" s="90" t="s">
        <v>16</v>
      </c>
      <c r="D3645" s="90" t="str">
        <f>VLOOKUP(Tabela1[[#This Row],[Origem]],'Perguntas 1 a 24'!$J$28:$K$34,2,FALSE)</f>
        <v>Sudeste</v>
      </c>
      <c r="E3645" s="90" t="s">
        <v>14971</v>
      </c>
      <c r="F3645" s="91">
        <v>47685</v>
      </c>
      <c r="G3645" s="92">
        <v>80541</v>
      </c>
      <c r="H3645" s="90" t="s">
        <v>14</v>
      </c>
      <c r="I36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5" s="90" t="s">
        <v>4525</v>
      </c>
    </row>
    <row r="3646" spans="1:11">
      <c r="A3646" s="90" t="s">
        <v>11247</v>
      </c>
      <c r="B3646" s="90" t="s">
        <v>11248</v>
      </c>
      <c r="C3646" s="90" t="s">
        <v>16</v>
      </c>
      <c r="D3646" s="90" t="str">
        <f>VLOOKUP(Tabela1[[#This Row],[Origem]],'Perguntas 1 a 24'!$J$28:$K$34,2,FALSE)</f>
        <v>Sudeste</v>
      </c>
      <c r="E3646" s="90" t="s">
        <v>14972</v>
      </c>
      <c r="F3646" s="91">
        <v>47685</v>
      </c>
      <c r="G3646" s="92">
        <v>114936</v>
      </c>
      <c r="H3646" s="90" t="s">
        <v>11</v>
      </c>
      <c r="I36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6" s="90" t="s">
        <v>7143</v>
      </c>
    </row>
    <row r="3647" spans="1:11">
      <c r="A3647" s="90" t="s">
        <v>3798</v>
      </c>
      <c r="B3647" s="90" t="s">
        <v>3799</v>
      </c>
      <c r="C3647" s="90" t="s">
        <v>16</v>
      </c>
      <c r="D3647" s="90" t="str">
        <f>VLOOKUP(Tabela1[[#This Row],[Origem]],'Perguntas 1 a 24'!$J$28:$K$34,2,FALSE)</f>
        <v>Sudeste</v>
      </c>
      <c r="E3647" s="90" t="s">
        <v>14973</v>
      </c>
      <c r="F3647" s="91">
        <v>47686</v>
      </c>
      <c r="G3647" s="92">
        <v>34486</v>
      </c>
      <c r="H3647" s="90" t="s">
        <v>7</v>
      </c>
      <c r="I36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7" s="90" t="s">
        <v>4418</v>
      </c>
    </row>
    <row r="3648" spans="1:11">
      <c r="A3648" s="90" t="s">
        <v>4333</v>
      </c>
      <c r="B3648" s="90" t="s">
        <v>4334</v>
      </c>
      <c r="C3648" s="90" t="s">
        <v>13</v>
      </c>
      <c r="D3648" s="90" t="str">
        <f>VLOOKUP(Tabela1[[#This Row],[Origem]],'Perguntas 1 a 24'!$J$28:$K$34,2,FALSE)</f>
        <v>Sudeste</v>
      </c>
      <c r="E3648" s="90" t="s">
        <v>14974</v>
      </c>
      <c r="F3648" s="91">
        <v>47686</v>
      </c>
      <c r="G3648" s="92">
        <v>109254</v>
      </c>
      <c r="H3648" s="90" t="s">
        <v>7</v>
      </c>
      <c r="I36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8" s="90" t="s">
        <v>5337</v>
      </c>
    </row>
    <row r="3649" spans="1:11">
      <c r="A3649" s="90" t="s">
        <v>5932</v>
      </c>
      <c r="B3649" s="90" t="s">
        <v>5933</v>
      </c>
      <c r="C3649" s="90" t="s">
        <v>8</v>
      </c>
      <c r="D3649" s="90" t="str">
        <f>VLOOKUP(Tabela1[[#This Row],[Origem]],'Perguntas 1 a 24'!$J$28:$K$34,2,FALSE)</f>
        <v>Nordeste</v>
      </c>
      <c r="E3649" s="90" t="s">
        <v>14975</v>
      </c>
      <c r="F3649" s="91">
        <v>47686</v>
      </c>
      <c r="G3649" s="92">
        <v>102134</v>
      </c>
      <c r="H3649" s="90" t="s">
        <v>9</v>
      </c>
      <c r="I36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49" s="90" t="s">
        <v>9522</v>
      </c>
    </row>
    <row r="3650" spans="1:11">
      <c r="A3650" s="90" t="s">
        <v>4201</v>
      </c>
      <c r="B3650" s="90" t="s">
        <v>4202</v>
      </c>
      <c r="C3650" s="90" t="s">
        <v>16</v>
      </c>
      <c r="D3650" s="90" t="str">
        <f>VLOOKUP(Tabela1[[#This Row],[Origem]],'Perguntas 1 a 24'!$J$28:$K$34,2,FALSE)</f>
        <v>Sudeste</v>
      </c>
      <c r="E3650" s="90" t="s">
        <v>14976</v>
      </c>
      <c r="F3650" s="91">
        <v>47687</v>
      </c>
      <c r="G3650" s="92">
        <v>116924</v>
      </c>
      <c r="H3650" s="90" t="s">
        <v>14</v>
      </c>
      <c r="I36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0" s="90" t="s">
        <v>6829</v>
      </c>
    </row>
    <row r="3651" spans="1:11">
      <c r="A3651" s="90" t="s">
        <v>5624</v>
      </c>
      <c r="B3651" s="90" t="s">
        <v>5625</v>
      </c>
      <c r="C3651" s="90" t="s">
        <v>16</v>
      </c>
      <c r="D3651" s="90" t="str">
        <f>VLOOKUP(Tabela1[[#This Row],[Origem]],'Perguntas 1 a 24'!$J$28:$K$34,2,FALSE)</f>
        <v>Sudeste</v>
      </c>
      <c r="E3651" s="90" t="s">
        <v>14977</v>
      </c>
      <c r="F3651" s="91">
        <v>47687</v>
      </c>
      <c r="G3651" s="92">
        <v>29961</v>
      </c>
      <c r="H3651" s="90" t="s">
        <v>11</v>
      </c>
      <c r="I36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1" s="90" t="s">
        <v>4887</v>
      </c>
    </row>
    <row r="3652" spans="1:11">
      <c r="A3652" s="90" t="s">
        <v>5672</v>
      </c>
      <c r="B3652" s="90" t="s">
        <v>5673</v>
      </c>
      <c r="C3652" s="90" t="s">
        <v>10</v>
      </c>
      <c r="D3652" s="90" t="str">
        <f>VLOOKUP(Tabela1[[#This Row],[Origem]],'Perguntas 1 a 24'!$J$28:$K$34,2,FALSE)</f>
        <v>Centro-Oeste</v>
      </c>
      <c r="E3652" s="90" t="s">
        <v>14978</v>
      </c>
      <c r="F3652" s="91">
        <v>47687</v>
      </c>
      <c r="G3652" s="92">
        <v>48462</v>
      </c>
      <c r="H3652" s="90" t="s">
        <v>14</v>
      </c>
      <c r="I36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2" s="90" t="s">
        <v>4923</v>
      </c>
    </row>
    <row r="3653" spans="1:11">
      <c r="A3653" s="90" t="s">
        <v>10007</v>
      </c>
      <c r="B3653" s="90" t="s">
        <v>10008</v>
      </c>
      <c r="C3653" s="90" t="s">
        <v>6</v>
      </c>
      <c r="D3653" s="90" t="str">
        <f>VLOOKUP(Tabela1[[#This Row],[Origem]],'Perguntas 1 a 24'!$J$28:$K$34,2,FALSE)</f>
        <v>Nordeste</v>
      </c>
      <c r="E3653" s="90" t="s">
        <v>14979</v>
      </c>
      <c r="F3653" s="91">
        <v>47687</v>
      </c>
      <c r="G3653" s="92">
        <v>116057</v>
      </c>
      <c r="H3653" s="90" t="s">
        <v>9</v>
      </c>
      <c r="I36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3" s="90" t="s">
        <v>7475</v>
      </c>
    </row>
    <row r="3654" spans="1:11">
      <c r="A3654" s="90" t="s">
        <v>9467</v>
      </c>
      <c r="B3654" s="90" t="s">
        <v>9468</v>
      </c>
      <c r="C3654" s="90" t="s">
        <v>13</v>
      </c>
      <c r="D3654" s="90" t="str">
        <f>VLOOKUP(Tabela1[[#This Row],[Origem]],'Perguntas 1 a 24'!$J$28:$K$34,2,FALSE)</f>
        <v>Sudeste</v>
      </c>
      <c r="E3654" s="90" t="s">
        <v>14980</v>
      </c>
      <c r="F3654" s="91">
        <v>47688</v>
      </c>
      <c r="G3654" s="92">
        <v>68899</v>
      </c>
      <c r="H3654" s="90" t="s">
        <v>14</v>
      </c>
      <c r="I36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4" s="90" t="s">
        <v>8780</v>
      </c>
    </row>
    <row r="3655" spans="1:11">
      <c r="A3655" s="90" t="s">
        <v>10159</v>
      </c>
      <c r="B3655" s="90" t="s">
        <v>10160</v>
      </c>
      <c r="C3655" s="90" t="s">
        <v>10</v>
      </c>
      <c r="D3655" s="90" t="str">
        <f>VLOOKUP(Tabela1[[#This Row],[Origem]],'Perguntas 1 a 24'!$J$28:$K$34,2,FALSE)</f>
        <v>Centro-Oeste</v>
      </c>
      <c r="E3655" s="90" t="s">
        <v>14981</v>
      </c>
      <c r="F3655" s="91">
        <v>47688</v>
      </c>
      <c r="G3655" s="92">
        <v>51071</v>
      </c>
      <c r="H3655" s="90" t="s">
        <v>14</v>
      </c>
      <c r="I36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5" s="90" t="s">
        <v>9970</v>
      </c>
    </row>
    <row r="3656" spans="1:11">
      <c r="A3656" s="90" t="s">
        <v>6956</v>
      </c>
      <c r="B3656" s="90" t="s">
        <v>6957</v>
      </c>
      <c r="C3656" s="90" t="s">
        <v>6</v>
      </c>
      <c r="D3656" s="90" t="str">
        <f>VLOOKUP(Tabela1[[#This Row],[Origem]],'Perguntas 1 a 24'!$J$28:$K$34,2,FALSE)</f>
        <v>Nordeste</v>
      </c>
      <c r="E3656" s="90" t="s">
        <v>14982</v>
      </c>
      <c r="F3656" s="91">
        <v>47689</v>
      </c>
      <c r="G3656" s="92">
        <v>42969</v>
      </c>
      <c r="H3656" s="90" t="s">
        <v>7</v>
      </c>
      <c r="I36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6" s="90" t="s">
        <v>11228</v>
      </c>
    </row>
    <row r="3657" spans="1:11">
      <c r="A3657" s="90" t="s">
        <v>9375</v>
      </c>
      <c r="B3657" s="90" t="s">
        <v>9376</v>
      </c>
      <c r="C3657" s="90" t="s">
        <v>8</v>
      </c>
      <c r="D3657" s="90" t="str">
        <f>VLOOKUP(Tabela1[[#This Row],[Origem]],'Perguntas 1 a 24'!$J$28:$K$34,2,FALSE)</f>
        <v>Nordeste</v>
      </c>
      <c r="E3657" s="90" t="s">
        <v>14983</v>
      </c>
      <c r="F3657" s="91">
        <v>47689</v>
      </c>
      <c r="G3657" s="92">
        <v>56523</v>
      </c>
      <c r="H3657" s="90" t="s">
        <v>7</v>
      </c>
      <c r="I36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7" s="90" t="s">
        <v>5461</v>
      </c>
    </row>
    <row r="3658" spans="1:11">
      <c r="A3658" s="90" t="s">
        <v>4524</v>
      </c>
      <c r="B3658" s="90" t="s">
        <v>4525</v>
      </c>
      <c r="C3658" s="90" t="s">
        <v>13</v>
      </c>
      <c r="D3658" s="90" t="str">
        <f>VLOOKUP(Tabela1[[#This Row],[Origem]],'Perguntas 1 a 24'!$J$28:$K$34,2,FALSE)</f>
        <v>Sudeste</v>
      </c>
      <c r="E3658" s="90" t="s">
        <v>14984</v>
      </c>
      <c r="F3658" s="91">
        <v>47690</v>
      </c>
      <c r="G3658" s="92">
        <v>70386</v>
      </c>
      <c r="H3658" s="90" t="s">
        <v>7</v>
      </c>
      <c r="I36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8" s="90" t="s">
        <v>8972</v>
      </c>
    </row>
    <row r="3659" spans="1:11">
      <c r="A3659" s="90" t="s">
        <v>7142</v>
      </c>
      <c r="B3659" s="90" t="s">
        <v>7143</v>
      </c>
      <c r="C3659" s="90" t="s">
        <v>10</v>
      </c>
      <c r="D3659" s="90" t="str">
        <f>VLOOKUP(Tabela1[[#This Row],[Origem]],'Perguntas 1 a 24'!$J$28:$K$34,2,FALSE)</f>
        <v>Centro-Oeste</v>
      </c>
      <c r="E3659" s="90" t="s">
        <v>14985</v>
      </c>
      <c r="F3659" s="91">
        <v>47690</v>
      </c>
      <c r="G3659" s="92">
        <v>38832</v>
      </c>
      <c r="H3659" s="90" t="s">
        <v>11</v>
      </c>
      <c r="I36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59" s="90" t="s">
        <v>10474</v>
      </c>
    </row>
    <row r="3660" spans="1:11">
      <c r="A3660" s="90" t="s">
        <v>4417</v>
      </c>
      <c r="B3660" s="90" t="s">
        <v>4418</v>
      </c>
      <c r="C3660" s="90" t="s">
        <v>16</v>
      </c>
      <c r="D3660" s="90" t="str">
        <f>VLOOKUP(Tabela1[[#This Row],[Origem]],'Perguntas 1 a 24'!$J$28:$K$34,2,FALSE)</f>
        <v>Sudeste</v>
      </c>
      <c r="E3660" s="90" t="s">
        <v>14986</v>
      </c>
      <c r="F3660" s="91">
        <v>47692</v>
      </c>
      <c r="G3660" s="92">
        <v>22162</v>
      </c>
      <c r="H3660" s="90" t="s">
        <v>11</v>
      </c>
      <c r="I36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0" s="90" t="s">
        <v>7469</v>
      </c>
    </row>
    <row r="3661" spans="1:11">
      <c r="A3661" s="90" t="s">
        <v>5336</v>
      </c>
      <c r="B3661" s="90" t="s">
        <v>5337</v>
      </c>
      <c r="C3661" s="90" t="s">
        <v>13</v>
      </c>
      <c r="D3661" s="90" t="str">
        <f>VLOOKUP(Tabela1[[#This Row],[Origem]],'Perguntas 1 a 24'!$J$28:$K$34,2,FALSE)</f>
        <v>Sudeste</v>
      </c>
      <c r="E3661" s="90" t="s">
        <v>14987</v>
      </c>
      <c r="F3661" s="91">
        <v>47692</v>
      </c>
      <c r="G3661" s="92">
        <v>45657</v>
      </c>
      <c r="H3661" s="90" t="s">
        <v>9</v>
      </c>
      <c r="I36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1" s="90" t="s">
        <v>9026</v>
      </c>
    </row>
    <row r="3662" spans="1:11">
      <c r="A3662" s="90" t="s">
        <v>9521</v>
      </c>
      <c r="B3662" s="90" t="s">
        <v>9522</v>
      </c>
      <c r="C3662" s="90" t="s">
        <v>10</v>
      </c>
      <c r="D3662" s="90" t="str">
        <f>VLOOKUP(Tabela1[[#This Row],[Origem]],'Perguntas 1 a 24'!$J$28:$K$34,2,FALSE)</f>
        <v>Centro-Oeste</v>
      </c>
      <c r="E3662" s="90" t="s">
        <v>14988</v>
      </c>
      <c r="F3662" s="91">
        <v>47692</v>
      </c>
      <c r="G3662" s="92">
        <v>114239</v>
      </c>
      <c r="H3662" s="90" t="s">
        <v>9</v>
      </c>
      <c r="I36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2" s="90" t="s">
        <v>5785</v>
      </c>
    </row>
    <row r="3663" spans="1:11">
      <c r="A3663" s="90" t="s">
        <v>6828</v>
      </c>
      <c r="B3663" s="90" t="s">
        <v>6829</v>
      </c>
      <c r="C3663" s="90" t="s">
        <v>16</v>
      </c>
      <c r="D3663" s="90" t="str">
        <f>VLOOKUP(Tabela1[[#This Row],[Origem]],'Perguntas 1 a 24'!$J$28:$K$34,2,FALSE)</f>
        <v>Sudeste</v>
      </c>
      <c r="E3663" s="90" t="s">
        <v>14989</v>
      </c>
      <c r="F3663" s="91">
        <v>47693</v>
      </c>
      <c r="G3663" s="92">
        <v>113305</v>
      </c>
      <c r="H3663" s="90" t="s">
        <v>9</v>
      </c>
      <c r="I36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3" s="90" t="s">
        <v>7039</v>
      </c>
    </row>
    <row r="3664" spans="1:11">
      <c r="A3664" s="90" t="s">
        <v>4886</v>
      </c>
      <c r="B3664" s="90" t="s">
        <v>4887</v>
      </c>
      <c r="C3664" s="90" t="s">
        <v>8</v>
      </c>
      <c r="D3664" s="90" t="str">
        <f>VLOOKUP(Tabela1[[#This Row],[Origem]],'Perguntas 1 a 24'!$J$28:$K$34,2,FALSE)</f>
        <v>Nordeste</v>
      </c>
      <c r="E3664" s="90" t="s">
        <v>14990</v>
      </c>
      <c r="F3664" s="91">
        <v>47694</v>
      </c>
      <c r="G3664" s="92">
        <v>79397</v>
      </c>
      <c r="H3664" s="90" t="s">
        <v>7</v>
      </c>
      <c r="I36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4" s="90" t="s">
        <v>8447</v>
      </c>
    </row>
    <row r="3665" spans="1:11">
      <c r="A3665" s="90" t="s">
        <v>4922</v>
      </c>
      <c r="B3665" s="90" t="s">
        <v>4923</v>
      </c>
      <c r="C3665" s="90" t="s">
        <v>6</v>
      </c>
      <c r="D3665" s="90" t="str">
        <f>VLOOKUP(Tabela1[[#This Row],[Origem]],'Perguntas 1 a 24'!$J$28:$K$34,2,FALSE)</f>
        <v>Nordeste</v>
      </c>
      <c r="E3665" s="90" t="s">
        <v>14991</v>
      </c>
      <c r="F3665" s="91">
        <v>47694</v>
      </c>
      <c r="G3665" s="92">
        <v>81060</v>
      </c>
      <c r="H3665" s="90" t="s">
        <v>14</v>
      </c>
      <c r="I36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5" s="90" t="s">
        <v>10784</v>
      </c>
    </row>
    <row r="3666" spans="1:11">
      <c r="A3666" s="90" t="s">
        <v>7474</v>
      </c>
      <c r="B3666" s="90" t="s">
        <v>7475</v>
      </c>
      <c r="C3666" s="90" t="s">
        <v>8</v>
      </c>
      <c r="D3666" s="90" t="str">
        <f>VLOOKUP(Tabela1[[#This Row],[Origem]],'Perguntas 1 a 24'!$J$28:$K$34,2,FALSE)</f>
        <v>Nordeste</v>
      </c>
      <c r="E3666" s="90" t="s">
        <v>14992</v>
      </c>
      <c r="F3666" s="91">
        <v>47694</v>
      </c>
      <c r="G3666" s="92">
        <v>34442</v>
      </c>
      <c r="H3666" s="90" t="s">
        <v>9</v>
      </c>
      <c r="I36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6" s="90" t="s">
        <v>4071</v>
      </c>
    </row>
    <row r="3667" spans="1:11">
      <c r="A3667" s="90" t="s">
        <v>8779</v>
      </c>
      <c r="B3667" s="90" t="s">
        <v>8780</v>
      </c>
      <c r="C3667" s="90" t="s">
        <v>12</v>
      </c>
      <c r="D3667" s="90" t="str">
        <f>VLOOKUP(Tabela1[[#This Row],[Origem]],'Perguntas 1 a 24'!$J$28:$K$34,2,FALSE)</f>
        <v>Sudeste</v>
      </c>
      <c r="E3667" s="90" t="s">
        <v>14993</v>
      </c>
      <c r="F3667" s="91">
        <v>47694</v>
      </c>
      <c r="G3667" s="92">
        <v>76842</v>
      </c>
      <c r="H3667" s="90" t="s">
        <v>14</v>
      </c>
      <c r="I36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7" s="90" t="s">
        <v>7947</v>
      </c>
    </row>
    <row r="3668" spans="1:11">
      <c r="A3668" s="90" t="s">
        <v>9969</v>
      </c>
      <c r="B3668" s="90" t="s">
        <v>9970</v>
      </c>
      <c r="C3668" s="90" t="s">
        <v>6</v>
      </c>
      <c r="D3668" s="90" t="str">
        <f>VLOOKUP(Tabela1[[#This Row],[Origem]],'Perguntas 1 a 24'!$J$28:$K$34,2,FALSE)</f>
        <v>Nordeste</v>
      </c>
      <c r="E3668" s="90" t="s">
        <v>14994</v>
      </c>
      <c r="F3668" s="91">
        <v>47694</v>
      </c>
      <c r="G3668" s="92">
        <v>80381</v>
      </c>
      <c r="H3668" s="90" t="s">
        <v>14</v>
      </c>
      <c r="I36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8" s="90" t="s">
        <v>11017</v>
      </c>
    </row>
    <row r="3669" spans="1:11">
      <c r="A3669" s="90" t="s">
        <v>11227</v>
      </c>
      <c r="B3669" s="90" t="s">
        <v>11228</v>
      </c>
      <c r="C3669" s="90" t="s">
        <v>10</v>
      </c>
      <c r="D3669" s="90" t="str">
        <f>VLOOKUP(Tabela1[[#This Row],[Origem]],'Perguntas 1 a 24'!$J$28:$K$34,2,FALSE)</f>
        <v>Centro-Oeste</v>
      </c>
      <c r="E3669" s="90" t="s">
        <v>14995</v>
      </c>
      <c r="F3669" s="91">
        <v>47694</v>
      </c>
      <c r="G3669" s="92">
        <v>79192</v>
      </c>
      <c r="H3669" s="90" t="s">
        <v>9</v>
      </c>
      <c r="I36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69" s="90" t="s">
        <v>11216</v>
      </c>
    </row>
    <row r="3670" spans="1:11">
      <c r="A3670" s="90" t="s">
        <v>5460</v>
      </c>
      <c r="B3670" s="90" t="s">
        <v>5461</v>
      </c>
      <c r="C3670" s="90" t="s">
        <v>6</v>
      </c>
      <c r="D3670" s="90" t="str">
        <f>VLOOKUP(Tabela1[[#This Row],[Origem]],'Perguntas 1 a 24'!$J$28:$K$34,2,FALSE)</f>
        <v>Nordeste</v>
      </c>
      <c r="E3670" s="90" t="s">
        <v>14996</v>
      </c>
      <c r="F3670" s="91">
        <v>47695</v>
      </c>
      <c r="G3670" s="92">
        <v>119889</v>
      </c>
      <c r="H3670" s="90" t="s">
        <v>11</v>
      </c>
      <c r="I36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0" s="90" t="s">
        <v>4390</v>
      </c>
    </row>
    <row r="3671" spans="1:11">
      <c r="A3671" s="90" t="s">
        <v>8971</v>
      </c>
      <c r="B3671" s="90" t="s">
        <v>8972</v>
      </c>
      <c r="C3671" s="90" t="s">
        <v>15</v>
      </c>
      <c r="D3671" s="90" t="str">
        <f>VLOOKUP(Tabela1[[#This Row],[Origem]],'Perguntas 1 a 24'!$J$28:$K$34,2,FALSE)</f>
        <v>Sudeste</v>
      </c>
      <c r="E3671" s="90" t="s">
        <v>14997</v>
      </c>
      <c r="F3671" s="91">
        <v>47695</v>
      </c>
      <c r="G3671" s="92">
        <v>43016</v>
      </c>
      <c r="H3671" s="90" t="s">
        <v>11</v>
      </c>
      <c r="I36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1" s="90" t="s">
        <v>6373</v>
      </c>
    </row>
    <row r="3672" spans="1:11">
      <c r="A3672" s="90" t="s">
        <v>10473</v>
      </c>
      <c r="B3672" s="90" t="s">
        <v>10474</v>
      </c>
      <c r="C3672" s="90" t="s">
        <v>10</v>
      </c>
      <c r="D3672" s="90" t="str">
        <f>VLOOKUP(Tabela1[[#This Row],[Origem]],'Perguntas 1 a 24'!$J$28:$K$34,2,FALSE)</f>
        <v>Centro-Oeste</v>
      </c>
      <c r="E3672" s="90" t="s">
        <v>14998</v>
      </c>
      <c r="F3672" s="91">
        <v>47695</v>
      </c>
      <c r="G3672" s="92">
        <v>31930</v>
      </c>
      <c r="H3672" s="90" t="s">
        <v>14</v>
      </c>
      <c r="I36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2" s="90" t="s">
        <v>6641</v>
      </c>
    </row>
    <row r="3673" spans="1:11">
      <c r="A3673" s="90" t="s">
        <v>7468</v>
      </c>
      <c r="B3673" s="90" t="s">
        <v>7469</v>
      </c>
      <c r="C3673" s="90" t="s">
        <v>8</v>
      </c>
      <c r="D3673" s="90" t="str">
        <f>VLOOKUP(Tabela1[[#This Row],[Origem]],'Perguntas 1 a 24'!$J$28:$K$34,2,FALSE)</f>
        <v>Nordeste</v>
      </c>
      <c r="E3673" s="90" t="s">
        <v>14999</v>
      </c>
      <c r="F3673" s="91">
        <v>47696</v>
      </c>
      <c r="G3673" s="92">
        <v>110259</v>
      </c>
      <c r="H3673" s="90" t="s">
        <v>7</v>
      </c>
      <c r="I36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3" s="90" t="s">
        <v>9690</v>
      </c>
    </row>
    <row r="3674" spans="1:11">
      <c r="A3674" s="90" t="s">
        <v>9025</v>
      </c>
      <c r="B3674" s="90" t="s">
        <v>9026</v>
      </c>
      <c r="C3674" s="90" t="s">
        <v>12</v>
      </c>
      <c r="D3674" s="90" t="str">
        <f>VLOOKUP(Tabela1[[#This Row],[Origem]],'Perguntas 1 a 24'!$J$28:$K$34,2,FALSE)</f>
        <v>Sudeste</v>
      </c>
      <c r="E3674" s="90" t="s">
        <v>15000</v>
      </c>
      <c r="F3674" s="91">
        <v>47696</v>
      </c>
      <c r="G3674" s="92">
        <v>21008</v>
      </c>
      <c r="H3674" s="90" t="s">
        <v>7</v>
      </c>
      <c r="I36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4" s="90" t="s">
        <v>4448</v>
      </c>
    </row>
    <row r="3675" spans="1:11">
      <c r="A3675" s="90" t="s">
        <v>5784</v>
      </c>
      <c r="B3675" s="90" t="s">
        <v>5785</v>
      </c>
      <c r="C3675" s="90" t="s">
        <v>13</v>
      </c>
      <c r="D3675" s="90" t="str">
        <f>VLOOKUP(Tabela1[[#This Row],[Origem]],'Perguntas 1 a 24'!$J$28:$K$34,2,FALSE)</f>
        <v>Sudeste</v>
      </c>
      <c r="E3675" s="90" t="s">
        <v>15001</v>
      </c>
      <c r="F3675" s="91">
        <v>47698</v>
      </c>
      <c r="G3675" s="92">
        <v>55495</v>
      </c>
      <c r="H3675" s="90" t="s">
        <v>11</v>
      </c>
      <c r="I36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5" s="90" t="s">
        <v>10044</v>
      </c>
    </row>
    <row r="3676" spans="1:11">
      <c r="A3676" s="90" t="s">
        <v>7038</v>
      </c>
      <c r="B3676" s="90" t="s">
        <v>7039</v>
      </c>
      <c r="C3676" s="90" t="s">
        <v>8</v>
      </c>
      <c r="D3676" s="90" t="str">
        <f>VLOOKUP(Tabela1[[#This Row],[Origem]],'Perguntas 1 a 24'!$J$28:$K$34,2,FALSE)</f>
        <v>Nordeste</v>
      </c>
      <c r="E3676" s="90" t="s">
        <v>15002</v>
      </c>
      <c r="F3676" s="91">
        <v>47699</v>
      </c>
      <c r="G3676" s="92">
        <v>94136</v>
      </c>
      <c r="H3676" s="90" t="s">
        <v>7</v>
      </c>
      <c r="I36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6" s="90" t="s">
        <v>10552</v>
      </c>
    </row>
    <row r="3677" spans="1:11">
      <c r="A3677" s="90" t="s">
        <v>8446</v>
      </c>
      <c r="B3677" s="90" t="s">
        <v>8447</v>
      </c>
      <c r="C3677" s="90" t="s">
        <v>16</v>
      </c>
      <c r="D3677" s="90" t="str">
        <f>VLOOKUP(Tabela1[[#This Row],[Origem]],'Perguntas 1 a 24'!$J$28:$K$34,2,FALSE)</f>
        <v>Sudeste</v>
      </c>
      <c r="E3677" s="90" t="s">
        <v>15003</v>
      </c>
      <c r="F3677" s="91">
        <v>47699</v>
      </c>
      <c r="G3677" s="92">
        <v>86849</v>
      </c>
      <c r="H3677" s="90" t="s">
        <v>14</v>
      </c>
      <c r="I36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7" s="90" t="s">
        <v>5213</v>
      </c>
    </row>
    <row r="3678" spans="1:11">
      <c r="A3678" s="90" t="s">
        <v>10783</v>
      </c>
      <c r="B3678" s="90" t="s">
        <v>10784</v>
      </c>
      <c r="C3678" s="90" t="s">
        <v>8</v>
      </c>
      <c r="D3678" s="90" t="str">
        <f>VLOOKUP(Tabela1[[#This Row],[Origem]],'Perguntas 1 a 24'!$J$28:$K$34,2,FALSE)</f>
        <v>Nordeste</v>
      </c>
      <c r="E3678" s="90" t="s">
        <v>15004</v>
      </c>
      <c r="F3678" s="91">
        <v>47699</v>
      </c>
      <c r="G3678" s="92">
        <v>64347</v>
      </c>
      <c r="H3678" s="90" t="s">
        <v>11</v>
      </c>
      <c r="I36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8" s="90" t="s">
        <v>6717</v>
      </c>
    </row>
    <row r="3679" spans="1:11">
      <c r="A3679" s="90" t="s">
        <v>4070</v>
      </c>
      <c r="B3679" s="90" t="s">
        <v>4071</v>
      </c>
      <c r="C3679" s="90" t="s">
        <v>6</v>
      </c>
      <c r="D3679" s="90" t="str">
        <f>VLOOKUP(Tabela1[[#This Row],[Origem]],'Perguntas 1 a 24'!$J$28:$K$34,2,FALSE)</f>
        <v>Nordeste</v>
      </c>
      <c r="E3679" s="90" t="s">
        <v>15005</v>
      </c>
      <c r="F3679" s="91">
        <v>47700</v>
      </c>
      <c r="G3679" s="92">
        <v>56824</v>
      </c>
      <c r="H3679" s="90" t="s">
        <v>9</v>
      </c>
      <c r="I36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79" s="90" t="s">
        <v>9242</v>
      </c>
    </row>
    <row r="3680" spans="1:11">
      <c r="A3680" s="90" t="s">
        <v>7946</v>
      </c>
      <c r="B3680" s="90" t="s">
        <v>7947</v>
      </c>
      <c r="C3680" s="90" t="s">
        <v>15</v>
      </c>
      <c r="D3680" s="90" t="str">
        <f>VLOOKUP(Tabela1[[#This Row],[Origem]],'Perguntas 1 a 24'!$J$28:$K$34,2,FALSE)</f>
        <v>Sudeste</v>
      </c>
      <c r="E3680" s="90" t="s">
        <v>15006</v>
      </c>
      <c r="F3680" s="91">
        <v>47700</v>
      </c>
      <c r="G3680" s="92">
        <v>35391</v>
      </c>
      <c r="H3680" s="90" t="s">
        <v>9</v>
      </c>
      <c r="I36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0" s="90" t="s">
        <v>11164</v>
      </c>
    </row>
    <row r="3681" spans="1:11">
      <c r="A3681" s="90" t="s">
        <v>11016</v>
      </c>
      <c r="B3681" s="90" t="s">
        <v>11017</v>
      </c>
      <c r="C3681" s="90" t="s">
        <v>16</v>
      </c>
      <c r="D3681" s="90" t="str">
        <f>VLOOKUP(Tabela1[[#This Row],[Origem]],'Perguntas 1 a 24'!$J$28:$K$34,2,FALSE)</f>
        <v>Sudeste</v>
      </c>
      <c r="E3681" s="90" t="s">
        <v>15007</v>
      </c>
      <c r="F3681" s="91">
        <v>47700</v>
      </c>
      <c r="G3681" s="92">
        <v>71081</v>
      </c>
      <c r="H3681" s="90" t="s">
        <v>11</v>
      </c>
      <c r="I36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1" s="90" t="s">
        <v>5181</v>
      </c>
    </row>
    <row r="3682" spans="1:11">
      <c r="A3682" s="90" t="s">
        <v>11215</v>
      </c>
      <c r="B3682" s="90" t="s">
        <v>11216</v>
      </c>
      <c r="C3682" s="90" t="s">
        <v>8</v>
      </c>
      <c r="D3682" s="90" t="str">
        <f>VLOOKUP(Tabela1[[#This Row],[Origem]],'Perguntas 1 a 24'!$J$28:$K$34,2,FALSE)</f>
        <v>Nordeste</v>
      </c>
      <c r="E3682" s="90" t="s">
        <v>15008</v>
      </c>
      <c r="F3682" s="91">
        <v>47700</v>
      </c>
      <c r="G3682" s="92">
        <v>39451</v>
      </c>
      <c r="H3682" s="90" t="s">
        <v>7</v>
      </c>
      <c r="I36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2" s="90" t="s">
        <v>8365</v>
      </c>
    </row>
    <row r="3683" spans="1:11">
      <c r="A3683" s="90" t="s">
        <v>4389</v>
      </c>
      <c r="B3683" s="90" t="s">
        <v>4390</v>
      </c>
      <c r="C3683" s="90" t="s">
        <v>10</v>
      </c>
      <c r="D3683" s="90" t="str">
        <f>VLOOKUP(Tabela1[[#This Row],[Origem]],'Perguntas 1 a 24'!$J$28:$K$34,2,FALSE)</f>
        <v>Centro-Oeste</v>
      </c>
      <c r="E3683" s="90" t="s">
        <v>15009</v>
      </c>
      <c r="F3683" s="91">
        <v>47701</v>
      </c>
      <c r="G3683" s="92">
        <v>98879</v>
      </c>
      <c r="H3683" s="90" t="s">
        <v>7</v>
      </c>
      <c r="I36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3" s="90" t="s">
        <v>7657</v>
      </c>
    </row>
    <row r="3684" spans="1:11">
      <c r="A3684" s="90" t="s">
        <v>6372</v>
      </c>
      <c r="B3684" s="90" t="s">
        <v>6373</v>
      </c>
      <c r="C3684" s="90" t="s">
        <v>6</v>
      </c>
      <c r="D3684" s="90" t="str">
        <f>VLOOKUP(Tabela1[[#This Row],[Origem]],'Perguntas 1 a 24'!$J$28:$K$34,2,FALSE)</f>
        <v>Nordeste</v>
      </c>
      <c r="E3684" s="90" t="s">
        <v>15010</v>
      </c>
      <c r="F3684" s="91">
        <v>47701</v>
      </c>
      <c r="G3684" s="92">
        <v>91131</v>
      </c>
      <c r="H3684" s="90" t="s">
        <v>9</v>
      </c>
      <c r="I36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4" s="90" t="s">
        <v>3949</v>
      </c>
    </row>
    <row r="3685" spans="1:11">
      <c r="A3685" s="90" t="s">
        <v>6640</v>
      </c>
      <c r="B3685" s="90" t="s">
        <v>6641</v>
      </c>
      <c r="C3685" s="90" t="s">
        <v>12</v>
      </c>
      <c r="D3685" s="90" t="str">
        <f>VLOOKUP(Tabela1[[#This Row],[Origem]],'Perguntas 1 a 24'!$J$28:$K$34,2,FALSE)</f>
        <v>Sudeste</v>
      </c>
      <c r="E3685" s="90" t="s">
        <v>15011</v>
      </c>
      <c r="F3685" s="91">
        <v>47701</v>
      </c>
      <c r="G3685" s="92">
        <v>75656</v>
      </c>
      <c r="H3685" s="90" t="s">
        <v>14</v>
      </c>
      <c r="I36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5" s="90" t="s">
        <v>5117</v>
      </c>
    </row>
    <row r="3686" spans="1:11">
      <c r="A3686" s="90" t="s">
        <v>9689</v>
      </c>
      <c r="B3686" s="90" t="s">
        <v>9690</v>
      </c>
      <c r="C3686" s="90" t="s">
        <v>12</v>
      </c>
      <c r="D3686" s="90" t="str">
        <f>VLOOKUP(Tabela1[[#This Row],[Origem]],'Perguntas 1 a 24'!$J$28:$K$34,2,FALSE)</f>
        <v>Sudeste</v>
      </c>
      <c r="E3686" s="90" t="s">
        <v>15012</v>
      </c>
      <c r="F3686" s="91">
        <v>47701</v>
      </c>
      <c r="G3686" s="92">
        <v>56799</v>
      </c>
      <c r="H3686" s="90" t="s">
        <v>11</v>
      </c>
      <c r="I36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6" s="90" t="s">
        <v>9046</v>
      </c>
    </row>
    <row r="3687" spans="1:11">
      <c r="A3687" s="90" t="s">
        <v>4447</v>
      </c>
      <c r="B3687" s="90" t="s">
        <v>4448</v>
      </c>
      <c r="C3687" s="90" t="s">
        <v>16</v>
      </c>
      <c r="D3687" s="90" t="str">
        <f>VLOOKUP(Tabela1[[#This Row],[Origem]],'Perguntas 1 a 24'!$J$28:$K$34,2,FALSE)</f>
        <v>Sudeste</v>
      </c>
      <c r="E3687" s="90" t="s">
        <v>15013</v>
      </c>
      <c r="F3687" s="91">
        <v>47702</v>
      </c>
      <c r="G3687" s="92">
        <v>94425</v>
      </c>
      <c r="H3687" s="90" t="s">
        <v>9</v>
      </c>
      <c r="I36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7" s="90" t="s">
        <v>4103</v>
      </c>
    </row>
    <row r="3688" spans="1:11">
      <c r="A3688" s="90" t="s">
        <v>10043</v>
      </c>
      <c r="B3688" s="90" t="s">
        <v>10044</v>
      </c>
      <c r="C3688" s="90" t="s">
        <v>10</v>
      </c>
      <c r="D3688" s="90" t="str">
        <f>VLOOKUP(Tabela1[[#This Row],[Origem]],'Perguntas 1 a 24'!$J$28:$K$34,2,FALSE)</f>
        <v>Centro-Oeste</v>
      </c>
      <c r="E3688" s="90" t="s">
        <v>15014</v>
      </c>
      <c r="F3688" s="91">
        <v>47702</v>
      </c>
      <c r="G3688" s="92">
        <v>80580</v>
      </c>
      <c r="H3688" s="90" t="s">
        <v>14</v>
      </c>
      <c r="I36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8" s="90" t="s">
        <v>10748</v>
      </c>
    </row>
    <row r="3689" spans="1:11">
      <c r="A3689" s="90" t="s">
        <v>10551</v>
      </c>
      <c r="B3689" s="90" t="s">
        <v>10552</v>
      </c>
      <c r="C3689" s="90" t="s">
        <v>15</v>
      </c>
      <c r="D3689" s="90" t="str">
        <f>VLOOKUP(Tabela1[[#This Row],[Origem]],'Perguntas 1 a 24'!$J$28:$K$34,2,FALSE)</f>
        <v>Sudeste</v>
      </c>
      <c r="E3689" s="90" t="s">
        <v>15015</v>
      </c>
      <c r="F3689" s="91">
        <v>47702</v>
      </c>
      <c r="G3689" s="92">
        <v>72323</v>
      </c>
      <c r="H3689" s="90" t="s">
        <v>14</v>
      </c>
      <c r="I36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89" s="90" t="s">
        <v>6041</v>
      </c>
    </row>
    <row r="3690" spans="1:11">
      <c r="A3690" s="90" t="s">
        <v>5212</v>
      </c>
      <c r="B3690" s="90" t="s">
        <v>5213</v>
      </c>
      <c r="C3690" s="90" t="s">
        <v>10</v>
      </c>
      <c r="D3690" s="90" t="str">
        <f>VLOOKUP(Tabela1[[#This Row],[Origem]],'Perguntas 1 a 24'!$J$28:$K$34,2,FALSE)</f>
        <v>Centro-Oeste</v>
      </c>
      <c r="E3690" s="90" t="s">
        <v>15016</v>
      </c>
      <c r="F3690" s="91">
        <v>47705</v>
      </c>
      <c r="G3690" s="92">
        <v>41636</v>
      </c>
      <c r="H3690" s="90" t="s">
        <v>14</v>
      </c>
      <c r="I36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0" s="90" t="s">
        <v>4484</v>
      </c>
    </row>
    <row r="3691" spans="1:11">
      <c r="A3691" s="90" t="s">
        <v>6716</v>
      </c>
      <c r="B3691" s="90" t="s">
        <v>6717</v>
      </c>
      <c r="C3691" s="90" t="s">
        <v>15</v>
      </c>
      <c r="D3691" s="90" t="str">
        <f>VLOOKUP(Tabela1[[#This Row],[Origem]],'Perguntas 1 a 24'!$J$28:$K$34,2,FALSE)</f>
        <v>Sudeste</v>
      </c>
      <c r="E3691" s="90" t="s">
        <v>15017</v>
      </c>
      <c r="F3691" s="91">
        <v>47705</v>
      </c>
      <c r="G3691" s="92">
        <v>76523</v>
      </c>
      <c r="H3691" s="90" t="s">
        <v>7</v>
      </c>
      <c r="I36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1" s="90" t="s">
        <v>5049</v>
      </c>
    </row>
    <row r="3692" spans="1:11">
      <c r="A3692" s="90" t="s">
        <v>9241</v>
      </c>
      <c r="B3692" s="90" t="s">
        <v>9242</v>
      </c>
      <c r="C3692" s="90" t="s">
        <v>6</v>
      </c>
      <c r="D3692" s="90" t="str">
        <f>VLOOKUP(Tabela1[[#This Row],[Origem]],'Perguntas 1 a 24'!$J$28:$K$34,2,FALSE)</f>
        <v>Nordeste</v>
      </c>
      <c r="E3692" s="90" t="s">
        <v>15018</v>
      </c>
      <c r="F3692" s="91">
        <v>47705</v>
      </c>
      <c r="G3692" s="92">
        <v>108919</v>
      </c>
      <c r="H3692" s="90" t="s">
        <v>9</v>
      </c>
      <c r="I36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2" s="90" t="s">
        <v>6283</v>
      </c>
    </row>
    <row r="3693" spans="1:11">
      <c r="A3693" s="90" t="s">
        <v>11163</v>
      </c>
      <c r="B3693" s="90" t="s">
        <v>11164</v>
      </c>
      <c r="C3693" s="90" t="s">
        <v>16</v>
      </c>
      <c r="D3693" s="90" t="str">
        <f>VLOOKUP(Tabela1[[#This Row],[Origem]],'Perguntas 1 a 24'!$J$28:$K$34,2,FALSE)</f>
        <v>Sudeste</v>
      </c>
      <c r="E3693" s="90" t="s">
        <v>15019</v>
      </c>
      <c r="F3693" s="91">
        <v>47706</v>
      </c>
      <c r="G3693" s="92">
        <v>39208</v>
      </c>
      <c r="H3693" s="90" t="s">
        <v>9</v>
      </c>
      <c r="I36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3" s="90" t="s">
        <v>7275</v>
      </c>
    </row>
    <row r="3694" spans="1:11">
      <c r="A3694" s="90" t="s">
        <v>5180</v>
      </c>
      <c r="B3694" s="90" t="s">
        <v>5181</v>
      </c>
      <c r="C3694" s="90" t="s">
        <v>8</v>
      </c>
      <c r="D3694" s="90" t="str">
        <f>VLOOKUP(Tabela1[[#This Row],[Origem]],'Perguntas 1 a 24'!$J$28:$K$34,2,FALSE)</f>
        <v>Nordeste</v>
      </c>
      <c r="E3694" s="90" t="s">
        <v>15020</v>
      </c>
      <c r="F3694" s="91">
        <v>47707</v>
      </c>
      <c r="G3694" s="92">
        <v>110960</v>
      </c>
      <c r="H3694" s="90" t="s">
        <v>14</v>
      </c>
      <c r="I36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4" s="90" t="s">
        <v>8393</v>
      </c>
    </row>
    <row r="3695" spans="1:11">
      <c r="A3695" s="90" t="s">
        <v>8364</v>
      </c>
      <c r="B3695" s="90" t="s">
        <v>8365</v>
      </c>
      <c r="C3695" s="90" t="s">
        <v>8</v>
      </c>
      <c r="D3695" s="90" t="str">
        <f>VLOOKUP(Tabela1[[#This Row],[Origem]],'Perguntas 1 a 24'!$J$28:$K$34,2,FALSE)</f>
        <v>Nordeste</v>
      </c>
      <c r="E3695" s="90" t="s">
        <v>15021</v>
      </c>
      <c r="F3695" s="91">
        <v>47707</v>
      </c>
      <c r="G3695" s="92">
        <v>21014</v>
      </c>
      <c r="H3695" s="90" t="s">
        <v>11</v>
      </c>
      <c r="I36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5" s="90" t="s">
        <v>5379</v>
      </c>
    </row>
    <row r="3696" spans="1:11">
      <c r="A3696" s="90" t="s">
        <v>7656</v>
      </c>
      <c r="B3696" s="90" t="s">
        <v>7657</v>
      </c>
      <c r="C3696" s="90" t="s">
        <v>8</v>
      </c>
      <c r="D3696" s="90" t="str">
        <f>VLOOKUP(Tabela1[[#This Row],[Origem]],'Perguntas 1 a 24'!$J$28:$K$34,2,FALSE)</f>
        <v>Nordeste</v>
      </c>
      <c r="E3696" s="90" t="s">
        <v>15022</v>
      </c>
      <c r="F3696" s="91">
        <v>47709</v>
      </c>
      <c r="G3696" s="92">
        <v>94454</v>
      </c>
      <c r="H3696" s="90" t="s">
        <v>11</v>
      </c>
      <c r="I36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6" s="90" t="s">
        <v>5627</v>
      </c>
    </row>
    <row r="3697" spans="1:11">
      <c r="A3697" s="90" t="s">
        <v>3948</v>
      </c>
      <c r="B3697" s="90" t="s">
        <v>3949</v>
      </c>
      <c r="C3697" s="90" t="s">
        <v>16</v>
      </c>
      <c r="D3697" s="90" t="str">
        <f>VLOOKUP(Tabela1[[#This Row],[Origem]],'Perguntas 1 a 24'!$J$28:$K$34,2,FALSE)</f>
        <v>Sudeste</v>
      </c>
      <c r="E3697" s="90" t="s">
        <v>15023</v>
      </c>
      <c r="F3697" s="91">
        <v>47710</v>
      </c>
      <c r="G3697" s="92">
        <v>25065</v>
      </c>
      <c r="H3697" s="90" t="s">
        <v>9</v>
      </c>
      <c r="I36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7" s="90" t="s">
        <v>6807</v>
      </c>
    </row>
    <row r="3698" spans="1:11">
      <c r="A3698" s="90" t="s">
        <v>5116</v>
      </c>
      <c r="B3698" s="90" t="s">
        <v>5117</v>
      </c>
      <c r="C3698" s="90" t="s">
        <v>16</v>
      </c>
      <c r="D3698" s="90" t="str">
        <f>VLOOKUP(Tabela1[[#This Row],[Origem]],'Perguntas 1 a 24'!$J$28:$K$34,2,FALSE)</f>
        <v>Sudeste</v>
      </c>
      <c r="E3698" s="90" t="s">
        <v>15024</v>
      </c>
      <c r="F3698" s="91">
        <v>47710</v>
      </c>
      <c r="G3698" s="92">
        <v>56857</v>
      </c>
      <c r="H3698" s="90" t="s">
        <v>9</v>
      </c>
      <c r="I36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8" s="90" t="s">
        <v>8477</v>
      </c>
    </row>
    <row r="3699" spans="1:11">
      <c r="A3699" s="90" t="s">
        <v>9045</v>
      </c>
      <c r="B3699" s="90" t="s">
        <v>9046</v>
      </c>
      <c r="C3699" s="90" t="s">
        <v>15</v>
      </c>
      <c r="D3699" s="90" t="str">
        <f>VLOOKUP(Tabela1[[#This Row],[Origem]],'Perguntas 1 a 24'!$J$28:$K$34,2,FALSE)</f>
        <v>Sudeste</v>
      </c>
      <c r="E3699" s="90" t="s">
        <v>15025</v>
      </c>
      <c r="F3699" s="91">
        <v>47710</v>
      </c>
      <c r="G3699" s="92">
        <v>68468</v>
      </c>
      <c r="H3699" s="90" t="s">
        <v>7</v>
      </c>
      <c r="I36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699" s="90" t="s">
        <v>9100</v>
      </c>
    </row>
    <row r="3700" spans="1:11">
      <c r="A3700" s="90" t="s">
        <v>4102</v>
      </c>
      <c r="B3700" s="90" t="s">
        <v>4103</v>
      </c>
      <c r="C3700" s="90" t="s">
        <v>15</v>
      </c>
      <c r="D3700" s="90" t="str">
        <f>VLOOKUP(Tabela1[[#This Row],[Origem]],'Perguntas 1 a 24'!$J$28:$K$34,2,FALSE)</f>
        <v>Sudeste</v>
      </c>
      <c r="E3700" s="90" t="s">
        <v>15026</v>
      </c>
      <c r="F3700" s="91">
        <v>47712</v>
      </c>
      <c r="G3700" s="92">
        <v>29840</v>
      </c>
      <c r="H3700" s="90" t="s">
        <v>14</v>
      </c>
      <c r="I37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0" s="90" t="s">
        <v>10064</v>
      </c>
    </row>
    <row r="3701" spans="1:11">
      <c r="A3701" s="90" t="s">
        <v>10747</v>
      </c>
      <c r="B3701" s="90" t="s">
        <v>10748</v>
      </c>
      <c r="C3701" s="90" t="s">
        <v>10</v>
      </c>
      <c r="D3701" s="90" t="str">
        <f>VLOOKUP(Tabela1[[#This Row],[Origem]],'Perguntas 1 a 24'!$J$28:$K$34,2,FALSE)</f>
        <v>Centro-Oeste</v>
      </c>
      <c r="E3701" s="90" t="s">
        <v>15027</v>
      </c>
      <c r="F3701" s="91">
        <v>47712</v>
      </c>
      <c r="G3701" s="92">
        <v>43929</v>
      </c>
      <c r="H3701" s="90" t="s">
        <v>14</v>
      </c>
      <c r="I37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1" s="90" t="s">
        <v>5599</v>
      </c>
    </row>
    <row r="3702" spans="1:11">
      <c r="A3702" s="90" t="s">
        <v>6040</v>
      </c>
      <c r="B3702" s="90" t="s">
        <v>6041</v>
      </c>
      <c r="C3702" s="90" t="s">
        <v>6</v>
      </c>
      <c r="D3702" s="90" t="str">
        <f>VLOOKUP(Tabela1[[#This Row],[Origem]],'Perguntas 1 a 24'!$J$28:$K$34,2,FALSE)</f>
        <v>Nordeste</v>
      </c>
      <c r="E3702" s="90" t="s">
        <v>15028</v>
      </c>
      <c r="F3702" s="91">
        <v>47713</v>
      </c>
      <c r="G3702" s="92">
        <v>103796</v>
      </c>
      <c r="H3702" s="90" t="s">
        <v>9</v>
      </c>
      <c r="I37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2" s="90" t="s">
        <v>9066</v>
      </c>
    </row>
    <row r="3703" spans="1:11">
      <c r="A3703" s="90" t="s">
        <v>4483</v>
      </c>
      <c r="B3703" s="90" t="s">
        <v>4484</v>
      </c>
      <c r="C3703" s="90" t="s">
        <v>13</v>
      </c>
      <c r="D3703" s="90" t="str">
        <f>VLOOKUP(Tabela1[[#This Row],[Origem]],'Perguntas 1 a 24'!$J$28:$K$34,2,FALSE)</f>
        <v>Sudeste</v>
      </c>
      <c r="E3703" s="90" t="s">
        <v>15029</v>
      </c>
      <c r="F3703" s="91">
        <v>47714</v>
      </c>
      <c r="G3703" s="92">
        <v>44597</v>
      </c>
      <c r="H3703" s="90" t="s">
        <v>11</v>
      </c>
      <c r="I37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3" s="90" t="s">
        <v>5515</v>
      </c>
    </row>
    <row r="3704" spans="1:11">
      <c r="A3704" s="90" t="s">
        <v>5048</v>
      </c>
      <c r="B3704" s="90" t="s">
        <v>5049</v>
      </c>
      <c r="C3704" s="90" t="s">
        <v>16</v>
      </c>
      <c r="D3704" s="90" t="str">
        <f>VLOOKUP(Tabela1[[#This Row],[Origem]],'Perguntas 1 a 24'!$J$28:$K$34,2,FALSE)</f>
        <v>Sudeste</v>
      </c>
      <c r="E3704" s="90" t="s">
        <v>15030</v>
      </c>
      <c r="F3704" s="91">
        <v>47714</v>
      </c>
      <c r="G3704" s="92">
        <v>73552</v>
      </c>
      <c r="H3704" s="90" t="s">
        <v>7</v>
      </c>
      <c r="I37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4" s="90" t="s">
        <v>9542</v>
      </c>
    </row>
    <row r="3705" spans="1:11">
      <c r="A3705" s="90" t="s">
        <v>6282</v>
      </c>
      <c r="B3705" s="90" t="s">
        <v>6283</v>
      </c>
      <c r="C3705" s="90" t="s">
        <v>8</v>
      </c>
      <c r="D3705" s="90" t="str">
        <f>VLOOKUP(Tabela1[[#This Row],[Origem]],'Perguntas 1 a 24'!$J$28:$K$34,2,FALSE)</f>
        <v>Nordeste</v>
      </c>
      <c r="E3705" s="90" t="s">
        <v>15031</v>
      </c>
      <c r="F3705" s="91">
        <v>47714</v>
      </c>
      <c r="G3705" s="92">
        <v>72836</v>
      </c>
      <c r="H3705" s="90" t="s">
        <v>11</v>
      </c>
      <c r="I37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5" s="90" t="s">
        <v>10824</v>
      </c>
    </row>
    <row r="3706" spans="1:11">
      <c r="A3706" s="90" t="s">
        <v>7274</v>
      </c>
      <c r="B3706" s="90" t="s">
        <v>7275</v>
      </c>
      <c r="C3706" s="90" t="s">
        <v>6</v>
      </c>
      <c r="D3706" s="90" t="str">
        <f>VLOOKUP(Tabela1[[#This Row],[Origem]],'Perguntas 1 a 24'!$J$28:$K$34,2,FALSE)</f>
        <v>Nordeste</v>
      </c>
      <c r="E3706" s="90" t="s">
        <v>15032</v>
      </c>
      <c r="F3706" s="91">
        <v>47714</v>
      </c>
      <c r="G3706" s="92">
        <v>60861</v>
      </c>
      <c r="H3706" s="90" t="s">
        <v>7</v>
      </c>
      <c r="I37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6" s="90" t="s">
        <v>7925</v>
      </c>
    </row>
    <row r="3707" spans="1:11">
      <c r="A3707" s="90" t="s">
        <v>8392</v>
      </c>
      <c r="B3707" s="90" t="s">
        <v>8393</v>
      </c>
      <c r="C3707" s="90" t="s">
        <v>15</v>
      </c>
      <c r="D3707" s="90" t="str">
        <f>VLOOKUP(Tabela1[[#This Row],[Origem]],'Perguntas 1 a 24'!$J$28:$K$34,2,FALSE)</f>
        <v>Sudeste</v>
      </c>
      <c r="E3707" s="90" t="s">
        <v>15033</v>
      </c>
      <c r="F3707" s="91">
        <v>47714</v>
      </c>
      <c r="G3707" s="92">
        <v>107139</v>
      </c>
      <c r="H3707" s="90" t="s">
        <v>7</v>
      </c>
      <c r="I37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7" s="90" t="s">
        <v>9012</v>
      </c>
    </row>
    <row r="3708" spans="1:11">
      <c r="A3708" s="90" t="s">
        <v>5378</v>
      </c>
      <c r="B3708" s="90" t="s">
        <v>5379</v>
      </c>
      <c r="C3708" s="90" t="s">
        <v>8</v>
      </c>
      <c r="D3708" s="90" t="str">
        <f>VLOOKUP(Tabela1[[#This Row],[Origem]],'Perguntas 1 a 24'!$J$28:$K$34,2,FALSE)</f>
        <v>Nordeste</v>
      </c>
      <c r="E3708" s="90" t="s">
        <v>15034</v>
      </c>
      <c r="F3708" s="91">
        <v>47715</v>
      </c>
      <c r="G3708" s="92">
        <v>82522</v>
      </c>
      <c r="H3708" s="90" t="s">
        <v>7</v>
      </c>
      <c r="I37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8" s="90" t="s">
        <v>3668</v>
      </c>
    </row>
    <row r="3709" spans="1:11">
      <c r="A3709" s="90" t="s">
        <v>5626</v>
      </c>
      <c r="B3709" s="90" t="s">
        <v>5627</v>
      </c>
      <c r="C3709" s="90" t="s">
        <v>12</v>
      </c>
      <c r="D3709" s="90" t="str">
        <f>VLOOKUP(Tabela1[[#This Row],[Origem]],'Perguntas 1 a 24'!$J$28:$K$34,2,FALSE)</f>
        <v>Sudeste</v>
      </c>
      <c r="E3709" s="90" t="s">
        <v>15035</v>
      </c>
      <c r="F3709" s="91">
        <v>47715</v>
      </c>
      <c r="G3709" s="92">
        <v>105763</v>
      </c>
      <c r="H3709" s="90" t="s">
        <v>11</v>
      </c>
      <c r="I37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09" s="90" t="s">
        <v>8634</v>
      </c>
    </row>
    <row r="3710" spans="1:11">
      <c r="A3710" s="90" t="s">
        <v>6806</v>
      </c>
      <c r="B3710" s="90" t="s">
        <v>6807</v>
      </c>
      <c r="C3710" s="90" t="s">
        <v>6</v>
      </c>
      <c r="D3710" s="90" t="str">
        <f>VLOOKUP(Tabela1[[#This Row],[Origem]],'Perguntas 1 a 24'!$J$28:$K$34,2,FALSE)</f>
        <v>Nordeste</v>
      </c>
      <c r="E3710" s="90" t="s">
        <v>15036</v>
      </c>
      <c r="F3710" s="91">
        <v>47716</v>
      </c>
      <c r="G3710" s="92">
        <v>55121</v>
      </c>
      <c r="H3710" s="90" t="s">
        <v>7</v>
      </c>
      <c r="I37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0" s="90" t="s">
        <v>9456</v>
      </c>
    </row>
    <row r="3711" spans="1:11">
      <c r="A3711" s="90" t="s">
        <v>8476</v>
      </c>
      <c r="B3711" s="90" t="s">
        <v>8477</v>
      </c>
      <c r="C3711" s="90" t="s">
        <v>12</v>
      </c>
      <c r="D3711" s="90" t="str">
        <f>VLOOKUP(Tabela1[[#This Row],[Origem]],'Perguntas 1 a 24'!$J$28:$K$34,2,FALSE)</f>
        <v>Sudeste</v>
      </c>
      <c r="E3711" s="90" t="s">
        <v>15037</v>
      </c>
      <c r="F3711" s="91">
        <v>47716</v>
      </c>
      <c r="G3711" s="92">
        <v>109443</v>
      </c>
      <c r="H3711" s="90" t="s">
        <v>14</v>
      </c>
      <c r="I37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1" s="90" t="s">
        <v>4569</v>
      </c>
    </row>
    <row r="3712" spans="1:11">
      <c r="A3712" s="90" t="s">
        <v>9099</v>
      </c>
      <c r="B3712" s="90" t="s">
        <v>9100</v>
      </c>
      <c r="C3712" s="90" t="s">
        <v>10</v>
      </c>
      <c r="D3712" s="90" t="str">
        <f>VLOOKUP(Tabela1[[#This Row],[Origem]],'Perguntas 1 a 24'!$J$28:$K$34,2,FALSE)</f>
        <v>Centro-Oeste</v>
      </c>
      <c r="E3712" s="90" t="s">
        <v>15038</v>
      </c>
      <c r="F3712" s="91">
        <v>47717</v>
      </c>
      <c r="G3712" s="92">
        <v>102095</v>
      </c>
      <c r="H3712" s="90" t="s">
        <v>14</v>
      </c>
      <c r="I37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2" s="90" t="s">
        <v>4807</v>
      </c>
    </row>
    <row r="3713" spans="1:11">
      <c r="A3713" s="90" t="s">
        <v>10063</v>
      </c>
      <c r="B3713" s="90" t="s">
        <v>10064</v>
      </c>
      <c r="C3713" s="90" t="s">
        <v>8</v>
      </c>
      <c r="D3713" s="90" t="str">
        <f>VLOOKUP(Tabela1[[#This Row],[Origem]],'Perguntas 1 a 24'!$J$28:$K$34,2,FALSE)</f>
        <v>Nordeste</v>
      </c>
      <c r="E3713" s="90" t="s">
        <v>15039</v>
      </c>
      <c r="F3713" s="91">
        <v>47717</v>
      </c>
      <c r="G3713" s="92">
        <v>112717</v>
      </c>
      <c r="H3713" s="90" t="s">
        <v>14</v>
      </c>
      <c r="I37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3" s="90" t="s">
        <v>8806</v>
      </c>
    </row>
    <row r="3714" spans="1:11">
      <c r="A3714" s="90" t="s">
        <v>5598</v>
      </c>
      <c r="B3714" s="90" t="s">
        <v>5599</v>
      </c>
      <c r="C3714" s="90" t="s">
        <v>16</v>
      </c>
      <c r="D3714" s="90" t="str">
        <f>VLOOKUP(Tabela1[[#This Row],[Origem]],'Perguntas 1 a 24'!$J$28:$K$34,2,FALSE)</f>
        <v>Sudeste</v>
      </c>
      <c r="E3714" s="90" t="s">
        <v>15040</v>
      </c>
      <c r="F3714" s="91">
        <v>47718</v>
      </c>
      <c r="G3714" s="92">
        <v>107980</v>
      </c>
      <c r="H3714" s="90" t="s">
        <v>9</v>
      </c>
      <c r="I37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4" s="90" t="s">
        <v>4701</v>
      </c>
    </row>
    <row r="3715" spans="1:11">
      <c r="A3715" s="90" t="s">
        <v>9065</v>
      </c>
      <c r="B3715" s="90" t="s">
        <v>9066</v>
      </c>
      <c r="C3715" s="90" t="s">
        <v>6</v>
      </c>
      <c r="D3715" s="90" t="str">
        <f>VLOOKUP(Tabela1[[#This Row],[Origem]],'Perguntas 1 a 24'!$J$28:$K$34,2,FALSE)</f>
        <v>Nordeste</v>
      </c>
      <c r="E3715" s="90" t="s">
        <v>15041</v>
      </c>
      <c r="F3715" s="91">
        <v>47719</v>
      </c>
      <c r="G3715" s="92">
        <v>76310</v>
      </c>
      <c r="H3715" s="90" t="s">
        <v>14</v>
      </c>
      <c r="I37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5" s="90" t="s">
        <v>4743</v>
      </c>
    </row>
    <row r="3716" spans="1:11">
      <c r="A3716" s="90" t="s">
        <v>5514</v>
      </c>
      <c r="B3716" s="90" t="s">
        <v>5515</v>
      </c>
      <c r="C3716" s="90" t="s">
        <v>8</v>
      </c>
      <c r="D3716" s="90" t="str">
        <f>VLOOKUP(Tabela1[[#This Row],[Origem]],'Perguntas 1 a 24'!$J$28:$K$34,2,FALSE)</f>
        <v>Nordeste</v>
      </c>
      <c r="E3716" s="90" t="s">
        <v>15042</v>
      </c>
      <c r="F3716" s="91">
        <v>47721</v>
      </c>
      <c r="G3716" s="92">
        <v>79795</v>
      </c>
      <c r="H3716" s="90" t="s">
        <v>7</v>
      </c>
      <c r="I37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6" s="90" t="s">
        <v>9202</v>
      </c>
    </row>
    <row r="3717" spans="1:11">
      <c r="A3717" s="90" t="s">
        <v>9541</v>
      </c>
      <c r="B3717" s="90" t="s">
        <v>9542</v>
      </c>
      <c r="C3717" s="90" t="s">
        <v>6</v>
      </c>
      <c r="D3717" s="90" t="str">
        <f>VLOOKUP(Tabela1[[#This Row],[Origem]],'Perguntas 1 a 24'!$J$28:$K$34,2,FALSE)</f>
        <v>Nordeste</v>
      </c>
      <c r="E3717" s="90" t="s">
        <v>15043</v>
      </c>
      <c r="F3717" s="91">
        <v>47723</v>
      </c>
      <c r="G3717" s="92">
        <v>73498</v>
      </c>
      <c r="H3717" s="90" t="s">
        <v>7</v>
      </c>
      <c r="I37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7" s="90" t="s">
        <v>10040</v>
      </c>
    </row>
    <row r="3718" spans="1:11">
      <c r="A3718" s="90" t="s">
        <v>10823</v>
      </c>
      <c r="B3718" s="90" t="s">
        <v>10824</v>
      </c>
      <c r="C3718" s="90" t="s">
        <v>8</v>
      </c>
      <c r="D3718" s="90" t="str">
        <f>VLOOKUP(Tabela1[[#This Row],[Origem]],'Perguntas 1 a 24'!$J$28:$K$34,2,FALSE)</f>
        <v>Nordeste</v>
      </c>
      <c r="E3718" s="90" t="s">
        <v>15044</v>
      </c>
      <c r="F3718" s="91">
        <v>47724</v>
      </c>
      <c r="G3718" s="92">
        <v>64099</v>
      </c>
      <c r="H3718" s="90" t="s">
        <v>7</v>
      </c>
      <c r="I37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8" s="90" t="s">
        <v>10288</v>
      </c>
    </row>
    <row r="3719" spans="1:11">
      <c r="A3719" s="90" t="s">
        <v>7924</v>
      </c>
      <c r="B3719" s="90" t="s">
        <v>7925</v>
      </c>
      <c r="C3719" s="90" t="s">
        <v>10</v>
      </c>
      <c r="D3719" s="90" t="str">
        <f>VLOOKUP(Tabela1[[#This Row],[Origem]],'Perguntas 1 a 24'!$J$28:$K$34,2,FALSE)</f>
        <v>Centro-Oeste</v>
      </c>
      <c r="E3719" s="90" t="s">
        <v>15045</v>
      </c>
      <c r="F3719" s="91">
        <v>47726</v>
      </c>
      <c r="G3719" s="92">
        <v>104682</v>
      </c>
      <c r="H3719" s="90" t="s">
        <v>7</v>
      </c>
      <c r="I37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19" s="90" t="s">
        <v>7137</v>
      </c>
    </row>
    <row r="3720" spans="1:11">
      <c r="A3720" s="90" t="s">
        <v>9011</v>
      </c>
      <c r="B3720" s="90" t="s">
        <v>9012</v>
      </c>
      <c r="C3720" s="90" t="s">
        <v>15</v>
      </c>
      <c r="D3720" s="90" t="str">
        <f>VLOOKUP(Tabela1[[#This Row],[Origem]],'Perguntas 1 a 24'!$J$28:$K$34,2,FALSE)</f>
        <v>Sudeste</v>
      </c>
      <c r="E3720" s="90" t="s">
        <v>15046</v>
      </c>
      <c r="F3720" s="91">
        <v>47728</v>
      </c>
      <c r="G3720" s="92">
        <v>57630</v>
      </c>
      <c r="H3720" s="90" t="s">
        <v>14</v>
      </c>
      <c r="I37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0" s="90" t="s">
        <v>7211</v>
      </c>
    </row>
    <row r="3721" spans="1:11">
      <c r="A3721" s="90" t="s">
        <v>3667</v>
      </c>
      <c r="B3721" s="90" t="s">
        <v>3668</v>
      </c>
      <c r="C3721" s="90" t="s">
        <v>10</v>
      </c>
      <c r="D3721" s="90" t="str">
        <f>VLOOKUP(Tabela1[[#This Row],[Origem]],'Perguntas 1 a 24'!$J$28:$K$34,2,FALSE)</f>
        <v>Centro-Oeste</v>
      </c>
      <c r="E3721" s="90" t="s">
        <v>15047</v>
      </c>
      <c r="F3721" s="91">
        <v>47729</v>
      </c>
      <c r="G3721" s="92">
        <v>109438</v>
      </c>
      <c r="H3721" s="90" t="s">
        <v>11</v>
      </c>
      <c r="I37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1" s="90" t="s">
        <v>11214</v>
      </c>
    </row>
    <row r="3722" spans="1:11">
      <c r="A3722" s="90" t="s">
        <v>8633</v>
      </c>
      <c r="B3722" s="90" t="s">
        <v>8634</v>
      </c>
      <c r="C3722" s="90" t="s">
        <v>15</v>
      </c>
      <c r="D3722" s="90" t="str">
        <f>VLOOKUP(Tabela1[[#This Row],[Origem]],'Perguntas 1 a 24'!$J$28:$K$34,2,FALSE)</f>
        <v>Sudeste</v>
      </c>
      <c r="E3722" s="90" t="s">
        <v>15048</v>
      </c>
      <c r="F3722" s="91">
        <v>47731</v>
      </c>
      <c r="G3722" s="92">
        <v>114874</v>
      </c>
      <c r="H3722" s="90" t="s">
        <v>9</v>
      </c>
      <c r="I37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2" s="90" t="s">
        <v>6785</v>
      </c>
    </row>
    <row r="3723" spans="1:11">
      <c r="A3723" s="90" t="s">
        <v>9455</v>
      </c>
      <c r="B3723" s="90" t="s">
        <v>9456</v>
      </c>
      <c r="C3723" s="90" t="s">
        <v>12</v>
      </c>
      <c r="D3723" s="90" t="str">
        <f>VLOOKUP(Tabela1[[#This Row],[Origem]],'Perguntas 1 a 24'!$J$28:$K$34,2,FALSE)</f>
        <v>Sudeste</v>
      </c>
      <c r="E3723" s="90" t="s">
        <v>15049</v>
      </c>
      <c r="F3723" s="91">
        <v>47731</v>
      </c>
      <c r="G3723" s="92">
        <v>63770</v>
      </c>
      <c r="H3723" s="90" t="s">
        <v>9</v>
      </c>
      <c r="I37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3" s="90" t="s">
        <v>8770</v>
      </c>
    </row>
    <row r="3724" spans="1:11">
      <c r="A3724" s="90" t="s">
        <v>4568</v>
      </c>
      <c r="B3724" s="90" t="s">
        <v>4569</v>
      </c>
      <c r="C3724" s="90" t="s">
        <v>16</v>
      </c>
      <c r="D3724" s="90" t="str">
        <f>VLOOKUP(Tabela1[[#This Row],[Origem]],'Perguntas 1 a 24'!$J$28:$K$34,2,FALSE)</f>
        <v>Sudeste</v>
      </c>
      <c r="E3724" s="90" t="s">
        <v>15050</v>
      </c>
      <c r="F3724" s="91">
        <v>47732</v>
      </c>
      <c r="G3724" s="92">
        <v>114761</v>
      </c>
      <c r="H3724" s="90" t="s">
        <v>11</v>
      </c>
      <c r="I37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4" s="90" t="s">
        <v>10392</v>
      </c>
    </row>
    <row r="3725" spans="1:11">
      <c r="A3725" s="90" t="s">
        <v>4806</v>
      </c>
      <c r="B3725" s="90" t="s">
        <v>4807</v>
      </c>
      <c r="C3725" s="90" t="s">
        <v>12</v>
      </c>
      <c r="D3725" s="90" t="str">
        <f>VLOOKUP(Tabela1[[#This Row],[Origem]],'Perguntas 1 a 24'!$J$28:$K$34,2,FALSE)</f>
        <v>Sudeste</v>
      </c>
      <c r="E3725" s="90" t="s">
        <v>15051</v>
      </c>
      <c r="F3725" s="91">
        <v>47732</v>
      </c>
      <c r="G3725" s="92">
        <v>71534</v>
      </c>
      <c r="H3725" s="90" t="s">
        <v>9</v>
      </c>
      <c r="I37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5" s="90" t="s">
        <v>5747</v>
      </c>
    </row>
    <row r="3726" spans="1:11">
      <c r="A3726" s="90" t="s">
        <v>8805</v>
      </c>
      <c r="B3726" s="90" t="s">
        <v>8806</v>
      </c>
      <c r="C3726" s="90" t="s">
        <v>8</v>
      </c>
      <c r="D3726" s="90" t="str">
        <f>VLOOKUP(Tabela1[[#This Row],[Origem]],'Perguntas 1 a 24'!$J$28:$K$34,2,FALSE)</f>
        <v>Nordeste</v>
      </c>
      <c r="E3726" s="90" t="s">
        <v>15052</v>
      </c>
      <c r="F3726" s="91">
        <v>47732</v>
      </c>
      <c r="G3726" s="92">
        <v>118343</v>
      </c>
      <c r="H3726" s="90" t="s">
        <v>14</v>
      </c>
      <c r="I37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6" s="90" t="s">
        <v>6727</v>
      </c>
    </row>
    <row r="3727" spans="1:11">
      <c r="A3727" s="90" t="s">
        <v>4700</v>
      </c>
      <c r="B3727" s="90" t="s">
        <v>4701</v>
      </c>
      <c r="C3727" s="90" t="s">
        <v>12</v>
      </c>
      <c r="D3727" s="90" t="str">
        <f>VLOOKUP(Tabela1[[#This Row],[Origem]],'Perguntas 1 a 24'!$J$28:$K$34,2,FALSE)</f>
        <v>Sudeste</v>
      </c>
      <c r="E3727" s="90" t="s">
        <v>15053</v>
      </c>
      <c r="F3727" s="91">
        <v>47734</v>
      </c>
      <c r="G3727" s="92">
        <v>97333</v>
      </c>
      <c r="H3727" s="90" t="s">
        <v>14</v>
      </c>
      <c r="I37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7" s="90" t="s">
        <v>8852</v>
      </c>
    </row>
    <row r="3728" spans="1:11">
      <c r="A3728" s="90" t="s">
        <v>4742</v>
      </c>
      <c r="B3728" s="90" t="s">
        <v>4743</v>
      </c>
      <c r="C3728" s="90" t="s">
        <v>10</v>
      </c>
      <c r="D3728" s="90" t="str">
        <f>VLOOKUP(Tabela1[[#This Row],[Origem]],'Perguntas 1 a 24'!$J$28:$K$34,2,FALSE)</f>
        <v>Centro-Oeste</v>
      </c>
      <c r="E3728" s="90" t="s">
        <v>15054</v>
      </c>
      <c r="F3728" s="91">
        <v>47736</v>
      </c>
      <c r="G3728" s="92">
        <v>30377</v>
      </c>
      <c r="H3728" s="90" t="s">
        <v>9</v>
      </c>
      <c r="I37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8" s="90" t="s">
        <v>11252</v>
      </c>
    </row>
    <row r="3729" spans="1:11">
      <c r="A3729" s="90" t="s">
        <v>9201</v>
      </c>
      <c r="B3729" s="90" t="s">
        <v>9202</v>
      </c>
      <c r="C3729" s="90" t="s">
        <v>6</v>
      </c>
      <c r="D3729" s="90" t="str">
        <f>VLOOKUP(Tabela1[[#This Row],[Origem]],'Perguntas 1 a 24'!$J$28:$K$34,2,FALSE)</f>
        <v>Nordeste</v>
      </c>
      <c r="E3729" s="90" t="s">
        <v>15055</v>
      </c>
      <c r="F3729" s="91">
        <v>47738</v>
      </c>
      <c r="G3729" s="92">
        <v>21494</v>
      </c>
      <c r="H3729" s="90" t="s">
        <v>7</v>
      </c>
      <c r="I37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29" s="90" t="s">
        <v>9476</v>
      </c>
    </row>
    <row r="3730" spans="1:11">
      <c r="A3730" s="90" t="s">
        <v>10039</v>
      </c>
      <c r="B3730" s="90" t="s">
        <v>10040</v>
      </c>
      <c r="C3730" s="90" t="s">
        <v>10</v>
      </c>
      <c r="D3730" s="90" t="str">
        <f>VLOOKUP(Tabela1[[#This Row],[Origem]],'Perguntas 1 a 24'!$J$28:$K$34,2,FALSE)</f>
        <v>Centro-Oeste</v>
      </c>
      <c r="E3730" s="90" t="s">
        <v>15056</v>
      </c>
      <c r="F3730" s="91">
        <v>47738</v>
      </c>
      <c r="G3730" s="92">
        <v>48794</v>
      </c>
      <c r="H3730" s="90" t="s">
        <v>7</v>
      </c>
      <c r="I37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0" s="90" t="s">
        <v>10586</v>
      </c>
    </row>
    <row r="3731" spans="1:11">
      <c r="A3731" s="90" t="s">
        <v>10287</v>
      </c>
      <c r="B3731" s="90" t="s">
        <v>10288</v>
      </c>
      <c r="C3731" s="90" t="s">
        <v>15</v>
      </c>
      <c r="D3731" s="90" t="str">
        <f>VLOOKUP(Tabela1[[#This Row],[Origem]],'Perguntas 1 a 24'!$J$28:$K$34,2,FALSE)</f>
        <v>Sudeste</v>
      </c>
      <c r="E3731" s="90" t="s">
        <v>15057</v>
      </c>
      <c r="F3731" s="91">
        <v>47738</v>
      </c>
      <c r="G3731" s="92">
        <v>58741</v>
      </c>
      <c r="H3731" s="90" t="s">
        <v>7</v>
      </c>
      <c r="I37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1" s="90" t="s">
        <v>6055</v>
      </c>
    </row>
    <row r="3732" spans="1:11">
      <c r="A3732" s="90" t="s">
        <v>7136</v>
      </c>
      <c r="B3732" s="90" t="s">
        <v>7137</v>
      </c>
      <c r="C3732" s="90" t="s">
        <v>16</v>
      </c>
      <c r="D3732" s="90" t="str">
        <f>VLOOKUP(Tabela1[[#This Row],[Origem]],'Perguntas 1 a 24'!$J$28:$K$34,2,FALSE)</f>
        <v>Sudeste</v>
      </c>
      <c r="E3732" s="90" t="s">
        <v>15058</v>
      </c>
      <c r="F3732" s="91">
        <v>47739</v>
      </c>
      <c r="G3732" s="92">
        <v>24078</v>
      </c>
      <c r="H3732" s="90" t="s">
        <v>11</v>
      </c>
      <c r="I37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2" s="90" t="s">
        <v>7209</v>
      </c>
    </row>
    <row r="3733" spans="1:11">
      <c r="A3733" s="90" t="s">
        <v>7210</v>
      </c>
      <c r="B3733" s="90" t="s">
        <v>7211</v>
      </c>
      <c r="C3733" s="90" t="s">
        <v>12</v>
      </c>
      <c r="D3733" s="90" t="str">
        <f>VLOOKUP(Tabela1[[#This Row],[Origem]],'Perguntas 1 a 24'!$J$28:$K$34,2,FALSE)</f>
        <v>Sudeste</v>
      </c>
      <c r="E3733" s="90" t="s">
        <v>15059</v>
      </c>
      <c r="F3733" s="91">
        <v>47739</v>
      </c>
      <c r="G3733" s="92">
        <v>105018</v>
      </c>
      <c r="H3733" s="90" t="s">
        <v>11</v>
      </c>
      <c r="I37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3" s="90" t="s">
        <v>11298</v>
      </c>
    </row>
    <row r="3734" spans="1:11">
      <c r="A3734" s="90" t="s">
        <v>11213</v>
      </c>
      <c r="B3734" s="90" t="s">
        <v>11214</v>
      </c>
      <c r="C3734" s="90" t="s">
        <v>15</v>
      </c>
      <c r="D3734" s="90" t="str">
        <f>VLOOKUP(Tabela1[[#This Row],[Origem]],'Perguntas 1 a 24'!$J$28:$K$34,2,FALSE)</f>
        <v>Sudeste</v>
      </c>
      <c r="E3734" s="90" t="s">
        <v>15060</v>
      </c>
      <c r="F3734" s="91">
        <v>47741</v>
      </c>
      <c r="G3734" s="92">
        <v>83636</v>
      </c>
      <c r="H3734" s="90" t="s">
        <v>7</v>
      </c>
      <c r="I37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4" s="90" t="s">
        <v>9684</v>
      </c>
    </row>
    <row r="3735" spans="1:11">
      <c r="A3735" s="90" t="s">
        <v>6784</v>
      </c>
      <c r="B3735" s="90" t="s">
        <v>6785</v>
      </c>
      <c r="C3735" s="90" t="s">
        <v>6</v>
      </c>
      <c r="D3735" s="90" t="str">
        <f>VLOOKUP(Tabela1[[#This Row],[Origem]],'Perguntas 1 a 24'!$J$28:$K$34,2,FALSE)</f>
        <v>Nordeste</v>
      </c>
      <c r="E3735" s="90" t="s">
        <v>15061</v>
      </c>
      <c r="F3735" s="91">
        <v>47742</v>
      </c>
      <c r="G3735" s="92">
        <v>119562</v>
      </c>
      <c r="H3735" s="90" t="s">
        <v>11</v>
      </c>
      <c r="I37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5" s="90" t="s">
        <v>10708</v>
      </c>
    </row>
    <row r="3736" spans="1:11">
      <c r="A3736" s="90" t="s">
        <v>8769</v>
      </c>
      <c r="B3736" s="90" t="s">
        <v>8770</v>
      </c>
      <c r="C3736" s="90" t="s">
        <v>12</v>
      </c>
      <c r="D3736" s="90" t="str">
        <f>VLOOKUP(Tabela1[[#This Row],[Origem]],'Perguntas 1 a 24'!$J$28:$K$34,2,FALSE)</f>
        <v>Sudeste</v>
      </c>
      <c r="E3736" s="90" t="s">
        <v>15062</v>
      </c>
      <c r="F3736" s="91">
        <v>47742</v>
      </c>
      <c r="G3736" s="92">
        <v>31024</v>
      </c>
      <c r="H3736" s="90" t="s">
        <v>7</v>
      </c>
      <c r="I37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6" s="90" t="s">
        <v>10314</v>
      </c>
    </row>
    <row r="3737" spans="1:11">
      <c r="A3737" s="90" t="s">
        <v>10391</v>
      </c>
      <c r="B3737" s="90" t="s">
        <v>10392</v>
      </c>
      <c r="C3737" s="90" t="s">
        <v>10</v>
      </c>
      <c r="D3737" s="90" t="str">
        <f>VLOOKUP(Tabela1[[#This Row],[Origem]],'Perguntas 1 a 24'!$J$28:$K$34,2,FALSE)</f>
        <v>Centro-Oeste</v>
      </c>
      <c r="E3737" s="90" t="s">
        <v>15063</v>
      </c>
      <c r="F3737" s="91">
        <v>47743</v>
      </c>
      <c r="G3737" s="92">
        <v>92283</v>
      </c>
      <c r="H3737" s="90" t="s">
        <v>9</v>
      </c>
      <c r="I37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7" s="90" t="s">
        <v>4206</v>
      </c>
    </row>
    <row r="3738" spans="1:11">
      <c r="A3738" s="90" t="s">
        <v>5746</v>
      </c>
      <c r="B3738" s="90" t="s">
        <v>5747</v>
      </c>
      <c r="C3738" s="90" t="s">
        <v>13</v>
      </c>
      <c r="D3738" s="90" t="str">
        <f>VLOOKUP(Tabela1[[#This Row],[Origem]],'Perguntas 1 a 24'!$J$28:$K$34,2,FALSE)</f>
        <v>Sudeste</v>
      </c>
      <c r="E3738" s="90" t="s">
        <v>15064</v>
      </c>
      <c r="F3738" s="91">
        <v>47744</v>
      </c>
      <c r="G3738" s="92">
        <v>63703</v>
      </c>
      <c r="H3738" s="90" t="s">
        <v>7</v>
      </c>
      <c r="I37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8" s="90" t="s">
        <v>4653</v>
      </c>
    </row>
    <row r="3739" spans="1:11">
      <c r="A3739" s="90" t="s">
        <v>6726</v>
      </c>
      <c r="B3739" s="90" t="s">
        <v>6727</v>
      </c>
      <c r="C3739" s="90" t="s">
        <v>13</v>
      </c>
      <c r="D3739" s="90" t="str">
        <f>VLOOKUP(Tabela1[[#This Row],[Origem]],'Perguntas 1 a 24'!$J$28:$K$34,2,FALSE)</f>
        <v>Sudeste</v>
      </c>
      <c r="E3739" s="90" t="s">
        <v>15065</v>
      </c>
      <c r="F3739" s="91">
        <v>47744</v>
      </c>
      <c r="G3739" s="92">
        <v>87101</v>
      </c>
      <c r="H3739" s="90" t="s">
        <v>14</v>
      </c>
      <c r="I37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39" s="90" t="s">
        <v>9538</v>
      </c>
    </row>
    <row r="3740" spans="1:11">
      <c r="A3740" s="90" t="s">
        <v>8851</v>
      </c>
      <c r="B3740" s="90" t="s">
        <v>8852</v>
      </c>
      <c r="C3740" s="90" t="s">
        <v>15</v>
      </c>
      <c r="D3740" s="90" t="str">
        <f>VLOOKUP(Tabela1[[#This Row],[Origem]],'Perguntas 1 a 24'!$J$28:$K$34,2,FALSE)</f>
        <v>Sudeste</v>
      </c>
      <c r="E3740" s="90" t="s">
        <v>15066</v>
      </c>
      <c r="F3740" s="91">
        <v>47744</v>
      </c>
      <c r="G3740" s="92">
        <v>79984</v>
      </c>
      <c r="H3740" s="90" t="s">
        <v>11</v>
      </c>
      <c r="I37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0" s="90" t="s">
        <v>6615</v>
      </c>
    </row>
    <row r="3741" spans="1:11">
      <c r="A3741" s="90" t="s">
        <v>11251</v>
      </c>
      <c r="B3741" s="90" t="s">
        <v>11252</v>
      </c>
      <c r="C3741" s="90" t="s">
        <v>8</v>
      </c>
      <c r="D3741" s="90" t="str">
        <f>VLOOKUP(Tabela1[[#This Row],[Origem]],'Perguntas 1 a 24'!$J$28:$K$34,2,FALSE)</f>
        <v>Nordeste</v>
      </c>
      <c r="E3741" s="90" t="s">
        <v>15067</v>
      </c>
      <c r="F3741" s="91">
        <v>47744</v>
      </c>
      <c r="G3741" s="92">
        <v>89178</v>
      </c>
      <c r="H3741" s="90" t="s">
        <v>9</v>
      </c>
      <c r="I37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1" s="90" t="s">
        <v>4424</v>
      </c>
    </row>
    <row r="3742" spans="1:11">
      <c r="A3742" s="90" t="s">
        <v>9475</v>
      </c>
      <c r="B3742" s="90" t="s">
        <v>9476</v>
      </c>
      <c r="C3742" s="90" t="s">
        <v>13</v>
      </c>
      <c r="D3742" s="90" t="str">
        <f>VLOOKUP(Tabela1[[#This Row],[Origem]],'Perguntas 1 a 24'!$J$28:$K$34,2,FALSE)</f>
        <v>Sudeste</v>
      </c>
      <c r="E3742" s="90" t="s">
        <v>15068</v>
      </c>
      <c r="F3742" s="91">
        <v>47745</v>
      </c>
      <c r="G3742" s="92">
        <v>54873</v>
      </c>
      <c r="H3742" s="90" t="s">
        <v>9</v>
      </c>
      <c r="I37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2" s="90" t="s">
        <v>10366</v>
      </c>
    </row>
    <row r="3743" spans="1:11">
      <c r="A3743" s="90" t="s">
        <v>10585</v>
      </c>
      <c r="B3743" s="90" t="s">
        <v>10586</v>
      </c>
      <c r="C3743" s="90" t="s">
        <v>15</v>
      </c>
      <c r="D3743" s="90" t="str">
        <f>VLOOKUP(Tabela1[[#This Row],[Origem]],'Perguntas 1 a 24'!$J$28:$K$34,2,FALSE)</f>
        <v>Sudeste</v>
      </c>
      <c r="E3743" s="90" t="s">
        <v>15069</v>
      </c>
      <c r="F3743" s="91">
        <v>47745</v>
      </c>
      <c r="G3743" s="92">
        <v>24292</v>
      </c>
      <c r="H3743" s="90" t="s">
        <v>9</v>
      </c>
      <c r="I37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3" s="90" t="s">
        <v>3700</v>
      </c>
    </row>
    <row r="3744" spans="1:11">
      <c r="A3744" s="90" t="s">
        <v>6054</v>
      </c>
      <c r="B3744" s="90" t="s">
        <v>6055</v>
      </c>
      <c r="C3744" s="90" t="s">
        <v>10</v>
      </c>
      <c r="D3744" s="90" t="str">
        <f>VLOOKUP(Tabela1[[#This Row],[Origem]],'Perguntas 1 a 24'!$J$28:$K$34,2,FALSE)</f>
        <v>Centro-Oeste</v>
      </c>
      <c r="E3744" s="90" t="s">
        <v>15070</v>
      </c>
      <c r="F3744" s="91">
        <v>47747</v>
      </c>
      <c r="G3744" s="92">
        <v>87467</v>
      </c>
      <c r="H3744" s="90" t="s">
        <v>9</v>
      </c>
      <c r="I37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4" s="90" t="s">
        <v>7017</v>
      </c>
    </row>
    <row r="3745" spans="1:11">
      <c r="A3745" s="90" t="s">
        <v>7208</v>
      </c>
      <c r="B3745" s="90" t="s">
        <v>7209</v>
      </c>
      <c r="C3745" s="90" t="s">
        <v>12</v>
      </c>
      <c r="D3745" s="90" t="str">
        <f>VLOOKUP(Tabela1[[#This Row],[Origem]],'Perguntas 1 a 24'!$J$28:$K$34,2,FALSE)</f>
        <v>Sudeste</v>
      </c>
      <c r="E3745" s="90" t="s">
        <v>15071</v>
      </c>
      <c r="F3745" s="91">
        <v>47747</v>
      </c>
      <c r="G3745" s="92">
        <v>79570</v>
      </c>
      <c r="H3745" s="90" t="s">
        <v>7</v>
      </c>
      <c r="I37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5" s="90" t="s">
        <v>10800</v>
      </c>
    </row>
    <row r="3746" spans="1:11">
      <c r="A3746" s="90" t="s">
        <v>11297</v>
      </c>
      <c r="B3746" s="90" t="s">
        <v>11298</v>
      </c>
      <c r="C3746" s="90" t="s">
        <v>16</v>
      </c>
      <c r="D3746" s="90" t="str">
        <f>VLOOKUP(Tabela1[[#This Row],[Origem]],'Perguntas 1 a 24'!$J$28:$K$34,2,FALSE)</f>
        <v>Sudeste</v>
      </c>
      <c r="E3746" s="90" t="s">
        <v>15072</v>
      </c>
      <c r="F3746" s="91">
        <v>47748</v>
      </c>
      <c r="G3746" s="92">
        <v>26308</v>
      </c>
      <c r="H3746" s="90" t="s">
        <v>7</v>
      </c>
      <c r="I37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6" s="90" t="s">
        <v>6607</v>
      </c>
    </row>
    <row r="3747" spans="1:11">
      <c r="A3747" s="90" t="s">
        <v>9683</v>
      </c>
      <c r="B3747" s="90" t="s">
        <v>9684</v>
      </c>
      <c r="C3747" s="90" t="s">
        <v>10</v>
      </c>
      <c r="D3747" s="90" t="str">
        <f>VLOOKUP(Tabela1[[#This Row],[Origem]],'Perguntas 1 a 24'!$J$28:$K$34,2,FALSE)</f>
        <v>Centro-Oeste</v>
      </c>
      <c r="E3747" s="90" t="s">
        <v>15073</v>
      </c>
      <c r="F3747" s="91">
        <v>47749</v>
      </c>
      <c r="G3747" s="92">
        <v>59305</v>
      </c>
      <c r="H3747" s="90" t="s">
        <v>7</v>
      </c>
      <c r="I37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7" s="90" t="s">
        <v>3959</v>
      </c>
    </row>
    <row r="3748" spans="1:11">
      <c r="A3748" s="90" t="s">
        <v>10707</v>
      </c>
      <c r="B3748" s="90" t="s">
        <v>10708</v>
      </c>
      <c r="C3748" s="90" t="s">
        <v>13</v>
      </c>
      <c r="D3748" s="90" t="str">
        <f>VLOOKUP(Tabela1[[#This Row],[Origem]],'Perguntas 1 a 24'!$J$28:$K$34,2,FALSE)</f>
        <v>Sudeste</v>
      </c>
      <c r="E3748" s="90" t="s">
        <v>15074</v>
      </c>
      <c r="F3748" s="91">
        <v>47749</v>
      </c>
      <c r="G3748" s="92">
        <v>75763</v>
      </c>
      <c r="H3748" s="90" t="s">
        <v>9</v>
      </c>
      <c r="I37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8" s="90" t="s">
        <v>10068</v>
      </c>
    </row>
    <row r="3749" spans="1:11">
      <c r="A3749" s="90" t="s">
        <v>10313</v>
      </c>
      <c r="B3749" s="90" t="s">
        <v>10314</v>
      </c>
      <c r="C3749" s="90" t="s">
        <v>15</v>
      </c>
      <c r="D3749" s="90" t="str">
        <f>VLOOKUP(Tabela1[[#This Row],[Origem]],'Perguntas 1 a 24'!$J$28:$K$34,2,FALSE)</f>
        <v>Sudeste</v>
      </c>
      <c r="E3749" s="90" t="s">
        <v>15075</v>
      </c>
      <c r="F3749" s="91">
        <v>47751</v>
      </c>
      <c r="G3749" s="92">
        <v>95118</v>
      </c>
      <c r="H3749" s="90" t="s">
        <v>9</v>
      </c>
      <c r="I37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49" s="90" t="s">
        <v>10108</v>
      </c>
    </row>
    <row r="3750" spans="1:11">
      <c r="A3750" s="90" t="s">
        <v>4205</v>
      </c>
      <c r="B3750" s="90" t="s">
        <v>4206</v>
      </c>
      <c r="C3750" s="90" t="s">
        <v>12</v>
      </c>
      <c r="D3750" s="90" t="str">
        <f>VLOOKUP(Tabela1[[#This Row],[Origem]],'Perguntas 1 a 24'!$J$28:$K$34,2,FALSE)</f>
        <v>Sudeste</v>
      </c>
      <c r="E3750" s="90" t="s">
        <v>15076</v>
      </c>
      <c r="F3750" s="91">
        <v>47752</v>
      </c>
      <c r="G3750" s="92">
        <v>22598</v>
      </c>
      <c r="H3750" s="90" t="s">
        <v>7</v>
      </c>
      <c r="I37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0" s="90" t="s">
        <v>10202</v>
      </c>
    </row>
    <row r="3751" spans="1:11">
      <c r="A3751" s="90" t="s">
        <v>4652</v>
      </c>
      <c r="B3751" s="90" t="s">
        <v>4653</v>
      </c>
      <c r="C3751" s="90" t="s">
        <v>6</v>
      </c>
      <c r="D3751" s="90" t="str">
        <f>VLOOKUP(Tabela1[[#This Row],[Origem]],'Perguntas 1 a 24'!$J$28:$K$34,2,FALSE)</f>
        <v>Nordeste</v>
      </c>
      <c r="E3751" s="90" t="s">
        <v>15077</v>
      </c>
      <c r="F3751" s="91">
        <v>47752</v>
      </c>
      <c r="G3751" s="92">
        <v>98382</v>
      </c>
      <c r="H3751" s="90" t="s">
        <v>11</v>
      </c>
      <c r="I37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1" s="90" t="s">
        <v>5791</v>
      </c>
    </row>
    <row r="3752" spans="1:11">
      <c r="A3752" s="90" t="s">
        <v>9537</v>
      </c>
      <c r="B3752" s="90" t="s">
        <v>9538</v>
      </c>
      <c r="C3752" s="90" t="s">
        <v>16</v>
      </c>
      <c r="D3752" s="90" t="str">
        <f>VLOOKUP(Tabela1[[#This Row],[Origem]],'Perguntas 1 a 24'!$J$28:$K$34,2,FALSE)</f>
        <v>Sudeste</v>
      </c>
      <c r="E3752" s="90" t="s">
        <v>15078</v>
      </c>
      <c r="F3752" s="91">
        <v>47752</v>
      </c>
      <c r="G3752" s="92">
        <v>116182</v>
      </c>
      <c r="H3752" s="90" t="s">
        <v>11</v>
      </c>
      <c r="I37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2" s="90" t="s">
        <v>4793</v>
      </c>
    </row>
    <row r="3753" spans="1:11">
      <c r="A3753" s="90" t="s">
        <v>6614</v>
      </c>
      <c r="B3753" s="90" t="s">
        <v>6615</v>
      </c>
      <c r="C3753" s="90" t="s">
        <v>10</v>
      </c>
      <c r="D3753" s="90" t="str">
        <f>VLOOKUP(Tabela1[[#This Row],[Origem]],'Perguntas 1 a 24'!$J$28:$K$34,2,FALSE)</f>
        <v>Centro-Oeste</v>
      </c>
      <c r="E3753" s="90" t="s">
        <v>15079</v>
      </c>
      <c r="F3753" s="91">
        <v>47753</v>
      </c>
      <c r="G3753" s="92">
        <v>91538</v>
      </c>
      <c r="H3753" s="90" t="s">
        <v>9</v>
      </c>
      <c r="I37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3" s="90" t="s">
        <v>8894</v>
      </c>
    </row>
    <row r="3754" spans="1:11">
      <c r="A3754" s="90" t="s">
        <v>4423</v>
      </c>
      <c r="B3754" s="90" t="s">
        <v>4424</v>
      </c>
      <c r="C3754" s="90" t="s">
        <v>15</v>
      </c>
      <c r="D3754" s="90" t="str">
        <f>VLOOKUP(Tabela1[[#This Row],[Origem]],'Perguntas 1 a 24'!$J$28:$K$34,2,FALSE)</f>
        <v>Sudeste</v>
      </c>
      <c r="E3754" s="90" t="s">
        <v>15080</v>
      </c>
      <c r="F3754" s="91">
        <v>47754</v>
      </c>
      <c r="G3754" s="92">
        <v>90110</v>
      </c>
      <c r="H3754" s="90" t="s">
        <v>9</v>
      </c>
      <c r="I37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4" s="90" t="s">
        <v>3741</v>
      </c>
    </row>
    <row r="3755" spans="1:11">
      <c r="A3755" s="90" t="s">
        <v>10365</v>
      </c>
      <c r="B3755" s="90" t="s">
        <v>10366</v>
      </c>
      <c r="C3755" s="90" t="s">
        <v>16</v>
      </c>
      <c r="D3755" s="90" t="str">
        <f>VLOOKUP(Tabela1[[#This Row],[Origem]],'Perguntas 1 a 24'!$J$28:$K$34,2,FALSE)</f>
        <v>Sudeste</v>
      </c>
      <c r="E3755" s="90" t="s">
        <v>15081</v>
      </c>
      <c r="F3755" s="91">
        <v>47754</v>
      </c>
      <c r="G3755" s="92">
        <v>110233</v>
      </c>
      <c r="H3755" s="90" t="s">
        <v>7</v>
      </c>
      <c r="I37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5" s="90" t="s">
        <v>10096</v>
      </c>
    </row>
    <row r="3756" spans="1:11">
      <c r="A3756" s="90" t="s">
        <v>3699</v>
      </c>
      <c r="B3756" s="90" t="s">
        <v>3700</v>
      </c>
      <c r="C3756" s="90" t="s">
        <v>12</v>
      </c>
      <c r="D3756" s="90" t="str">
        <f>VLOOKUP(Tabela1[[#This Row],[Origem]],'Perguntas 1 a 24'!$J$28:$K$34,2,FALSE)</f>
        <v>Sudeste</v>
      </c>
      <c r="E3756" s="90" t="s">
        <v>15082</v>
      </c>
      <c r="F3756" s="91">
        <v>47757</v>
      </c>
      <c r="G3756" s="92">
        <v>87404</v>
      </c>
      <c r="H3756" s="90" t="s">
        <v>9</v>
      </c>
      <c r="I37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6" s="90" t="s">
        <v>4085</v>
      </c>
    </row>
    <row r="3757" spans="1:11">
      <c r="A3757" s="90" t="s">
        <v>7016</v>
      </c>
      <c r="B3757" s="90" t="s">
        <v>7017</v>
      </c>
      <c r="C3757" s="90" t="s">
        <v>15</v>
      </c>
      <c r="D3757" s="90" t="str">
        <f>VLOOKUP(Tabela1[[#This Row],[Origem]],'Perguntas 1 a 24'!$J$28:$K$34,2,FALSE)</f>
        <v>Sudeste</v>
      </c>
      <c r="E3757" s="90" t="s">
        <v>15083</v>
      </c>
      <c r="F3757" s="91">
        <v>47758</v>
      </c>
      <c r="G3757" s="92">
        <v>22855</v>
      </c>
      <c r="H3757" s="90" t="s">
        <v>9</v>
      </c>
      <c r="I375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7" s="90" t="s">
        <v>11294</v>
      </c>
    </row>
    <row r="3758" spans="1:11">
      <c r="A3758" s="90" t="s">
        <v>10799</v>
      </c>
      <c r="B3758" s="90" t="s">
        <v>10800</v>
      </c>
      <c r="C3758" s="90" t="s">
        <v>10</v>
      </c>
      <c r="D3758" s="90" t="str">
        <f>VLOOKUP(Tabela1[[#This Row],[Origem]],'Perguntas 1 a 24'!$J$28:$K$34,2,FALSE)</f>
        <v>Centro-Oeste</v>
      </c>
      <c r="E3758" s="90" t="s">
        <v>15084</v>
      </c>
      <c r="F3758" s="91">
        <v>47758</v>
      </c>
      <c r="G3758" s="92">
        <v>39071</v>
      </c>
      <c r="H3758" s="90" t="s">
        <v>7</v>
      </c>
      <c r="I375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8" s="90" t="s">
        <v>5119</v>
      </c>
    </row>
    <row r="3759" spans="1:11">
      <c r="A3759" s="90" t="s">
        <v>6606</v>
      </c>
      <c r="B3759" s="90" t="s">
        <v>6607</v>
      </c>
      <c r="C3759" s="90" t="s">
        <v>13</v>
      </c>
      <c r="D3759" s="90" t="str">
        <f>VLOOKUP(Tabela1[[#This Row],[Origem]],'Perguntas 1 a 24'!$J$28:$K$34,2,FALSE)</f>
        <v>Sudeste</v>
      </c>
      <c r="E3759" s="90" t="s">
        <v>15085</v>
      </c>
      <c r="F3759" s="91">
        <v>47759</v>
      </c>
      <c r="G3759" s="92">
        <v>108008</v>
      </c>
      <c r="H3759" s="90" t="s">
        <v>9</v>
      </c>
      <c r="I375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59" s="90" t="s">
        <v>5559</v>
      </c>
    </row>
    <row r="3760" spans="1:11">
      <c r="A3760" s="90" t="s">
        <v>3958</v>
      </c>
      <c r="B3760" s="90" t="s">
        <v>3959</v>
      </c>
      <c r="C3760" s="90" t="s">
        <v>6</v>
      </c>
      <c r="D3760" s="90" t="str">
        <f>VLOOKUP(Tabela1[[#This Row],[Origem]],'Perguntas 1 a 24'!$J$28:$K$34,2,FALSE)</f>
        <v>Nordeste</v>
      </c>
      <c r="E3760" s="90" t="s">
        <v>15086</v>
      </c>
      <c r="F3760" s="91">
        <v>47760</v>
      </c>
      <c r="G3760" s="92">
        <v>34657</v>
      </c>
      <c r="H3760" s="90" t="s">
        <v>14</v>
      </c>
      <c r="I376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0" s="90" t="s">
        <v>5229</v>
      </c>
    </row>
    <row r="3761" spans="1:11">
      <c r="A3761" s="90" t="s">
        <v>10067</v>
      </c>
      <c r="B3761" s="90" t="s">
        <v>10068</v>
      </c>
      <c r="C3761" s="90" t="s">
        <v>12</v>
      </c>
      <c r="D3761" s="90" t="str">
        <f>VLOOKUP(Tabela1[[#This Row],[Origem]],'Perguntas 1 a 24'!$J$28:$K$34,2,FALSE)</f>
        <v>Sudeste</v>
      </c>
      <c r="E3761" s="90" t="s">
        <v>15087</v>
      </c>
      <c r="F3761" s="91">
        <v>47760</v>
      </c>
      <c r="G3761" s="92">
        <v>36071</v>
      </c>
      <c r="H3761" s="90" t="s">
        <v>14</v>
      </c>
      <c r="I376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1" s="90" t="s">
        <v>9562</v>
      </c>
    </row>
    <row r="3762" spans="1:11">
      <c r="A3762" s="90" t="s">
        <v>10107</v>
      </c>
      <c r="B3762" s="90" t="s">
        <v>10108</v>
      </c>
      <c r="C3762" s="90" t="s">
        <v>6</v>
      </c>
      <c r="D3762" s="90" t="str">
        <f>VLOOKUP(Tabela1[[#This Row],[Origem]],'Perguntas 1 a 24'!$J$28:$K$34,2,FALSE)</f>
        <v>Nordeste</v>
      </c>
      <c r="E3762" s="90" t="s">
        <v>15088</v>
      </c>
      <c r="F3762" s="91">
        <v>47760</v>
      </c>
      <c r="G3762" s="92">
        <v>59265</v>
      </c>
      <c r="H3762" s="90" t="s">
        <v>7</v>
      </c>
      <c r="I376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2" s="90" t="s">
        <v>8866</v>
      </c>
    </row>
    <row r="3763" spans="1:11">
      <c r="A3763" s="90" t="s">
        <v>10201</v>
      </c>
      <c r="B3763" s="90" t="s">
        <v>10202</v>
      </c>
      <c r="C3763" s="90" t="s">
        <v>13</v>
      </c>
      <c r="D3763" s="90" t="str">
        <f>VLOOKUP(Tabela1[[#This Row],[Origem]],'Perguntas 1 a 24'!$J$28:$K$34,2,FALSE)</f>
        <v>Sudeste</v>
      </c>
      <c r="E3763" s="90" t="s">
        <v>15089</v>
      </c>
      <c r="F3763" s="91">
        <v>47760</v>
      </c>
      <c r="G3763" s="92">
        <v>38805</v>
      </c>
      <c r="H3763" s="90" t="s">
        <v>14</v>
      </c>
      <c r="I376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3" s="90" t="s">
        <v>7975</v>
      </c>
    </row>
    <row r="3764" spans="1:11">
      <c r="A3764" s="90" t="s">
        <v>5790</v>
      </c>
      <c r="B3764" s="90" t="s">
        <v>5791</v>
      </c>
      <c r="C3764" s="90" t="s">
        <v>8</v>
      </c>
      <c r="D3764" s="90" t="str">
        <f>VLOOKUP(Tabela1[[#This Row],[Origem]],'Perguntas 1 a 24'!$J$28:$K$34,2,FALSE)</f>
        <v>Nordeste</v>
      </c>
      <c r="E3764" s="90" t="s">
        <v>15090</v>
      </c>
      <c r="F3764" s="91">
        <v>47761</v>
      </c>
      <c r="G3764" s="92">
        <v>56007</v>
      </c>
      <c r="H3764" s="90" t="s">
        <v>14</v>
      </c>
      <c r="I376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4" s="90" t="s">
        <v>9846</v>
      </c>
    </row>
    <row r="3765" spans="1:11">
      <c r="A3765" s="90" t="s">
        <v>4792</v>
      </c>
      <c r="B3765" s="90" t="s">
        <v>4793</v>
      </c>
      <c r="C3765" s="90" t="s">
        <v>16</v>
      </c>
      <c r="D3765" s="90" t="str">
        <f>VLOOKUP(Tabela1[[#This Row],[Origem]],'Perguntas 1 a 24'!$J$28:$K$34,2,FALSE)</f>
        <v>Sudeste</v>
      </c>
      <c r="E3765" s="90" t="s">
        <v>15091</v>
      </c>
      <c r="F3765" s="91">
        <v>47762</v>
      </c>
      <c r="G3765" s="92">
        <v>53702</v>
      </c>
      <c r="H3765" s="90" t="s">
        <v>14</v>
      </c>
      <c r="I376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5" s="90" t="s">
        <v>8151</v>
      </c>
    </row>
    <row r="3766" spans="1:11">
      <c r="A3766" s="90" t="s">
        <v>8893</v>
      </c>
      <c r="B3766" s="90" t="s">
        <v>8894</v>
      </c>
      <c r="C3766" s="90" t="s">
        <v>16</v>
      </c>
      <c r="D3766" s="90" t="str">
        <f>VLOOKUP(Tabela1[[#This Row],[Origem]],'Perguntas 1 a 24'!$J$28:$K$34,2,FALSE)</f>
        <v>Sudeste</v>
      </c>
      <c r="E3766" s="90" t="s">
        <v>15092</v>
      </c>
      <c r="F3766" s="91">
        <v>47762</v>
      </c>
      <c r="G3766" s="92">
        <v>27563</v>
      </c>
      <c r="H3766" s="90" t="s">
        <v>9</v>
      </c>
      <c r="I376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6" s="90" t="s">
        <v>9482</v>
      </c>
    </row>
    <row r="3767" spans="1:11">
      <c r="A3767" s="90" t="s">
        <v>3740</v>
      </c>
      <c r="B3767" s="90" t="s">
        <v>3741</v>
      </c>
      <c r="C3767" s="90" t="s">
        <v>15</v>
      </c>
      <c r="D3767" s="90" t="str">
        <f>VLOOKUP(Tabela1[[#This Row],[Origem]],'Perguntas 1 a 24'!$J$28:$K$34,2,FALSE)</f>
        <v>Sudeste</v>
      </c>
      <c r="E3767" s="90" t="s">
        <v>15093</v>
      </c>
      <c r="F3767" s="91">
        <v>47763</v>
      </c>
      <c r="G3767" s="92">
        <v>118176</v>
      </c>
      <c r="H3767" s="90" t="s">
        <v>14</v>
      </c>
      <c r="I376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7" s="90" t="s">
        <v>5421</v>
      </c>
    </row>
    <row r="3768" spans="1:11">
      <c r="A3768" s="90" t="s">
        <v>10095</v>
      </c>
      <c r="B3768" s="90" t="s">
        <v>10096</v>
      </c>
      <c r="C3768" s="90" t="s">
        <v>12</v>
      </c>
      <c r="D3768" s="90" t="str">
        <f>VLOOKUP(Tabela1[[#This Row],[Origem]],'Perguntas 1 a 24'!$J$28:$K$34,2,FALSE)</f>
        <v>Sudeste</v>
      </c>
      <c r="E3768" s="90" t="s">
        <v>15094</v>
      </c>
      <c r="F3768" s="91">
        <v>47764</v>
      </c>
      <c r="G3768" s="92">
        <v>93906</v>
      </c>
      <c r="H3768" s="90" t="s">
        <v>14</v>
      </c>
      <c r="I376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8" s="90" t="s">
        <v>4853</v>
      </c>
    </row>
    <row r="3769" spans="1:11">
      <c r="A3769" s="90" t="s">
        <v>4084</v>
      </c>
      <c r="B3769" s="90" t="s">
        <v>4085</v>
      </c>
      <c r="C3769" s="90" t="s">
        <v>8</v>
      </c>
      <c r="D3769" s="90" t="str">
        <f>VLOOKUP(Tabela1[[#This Row],[Origem]],'Perguntas 1 a 24'!$J$28:$K$34,2,FALSE)</f>
        <v>Nordeste</v>
      </c>
      <c r="E3769" s="90" t="s">
        <v>15095</v>
      </c>
      <c r="F3769" s="91">
        <v>47765</v>
      </c>
      <c r="G3769" s="92">
        <v>66459</v>
      </c>
      <c r="H3769" s="90" t="s">
        <v>7</v>
      </c>
      <c r="I376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69" s="90" t="s">
        <v>6507</v>
      </c>
    </row>
    <row r="3770" spans="1:11">
      <c r="A3770" s="90" t="s">
        <v>11293</v>
      </c>
      <c r="B3770" s="90" t="s">
        <v>11294</v>
      </c>
      <c r="C3770" s="90" t="s">
        <v>8</v>
      </c>
      <c r="D3770" s="90" t="str">
        <f>VLOOKUP(Tabela1[[#This Row],[Origem]],'Perguntas 1 a 24'!$J$28:$K$34,2,FALSE)</f>
        <v>Nordeste</v>
      </c>
      <c r="E3770" s="90" t="s">
        <v>15096</v>
      </c>
      <c r="F3770" s="91">
        <v>47765</v>
      </c>
      <c r="G3770" s="92">
        <v>42309</v>
      </c>
      <c r="H3770" s="90" t="s">
        <v>11</v>
      </c>
      <c r="I377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0" s="90" t="s">
        <v>9682</v>
      </c>
    </row>
    <row r="3771" spans="1:11">
      <c r="A3771" s="90" t="s">
        <v>5118</v>
      </c>
      <c r="B3771" s="90" t="s">
        <v>5119</v>
      </c>
      <c r="C3771" s="90" t="s">
        <v>6</v>
      </c>
      <c r="D3771" s="90" t="str">
        <f>VLOOKUP(Tabela1[[#This Row],[Origem]],'Perguntas 1 a 24'!$J$28:$K$34,2,FALSE)</f>
        <v>Nordeste</v>
      </c>
      <c r="E3771" s="90" t="s">
        <v>15097</v>
      </c>
      <c r="F3771" s="91">
        <v>47766</v>
      </c>
      <c r="G3771" s="92">
        <v>62647</v>
      </c>
      <c r="H3771" s="90" t="s">
        <v>9</v>
      </c>
      <c r="I377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1" s="90" t="s">
        <v>10448</v>
      </c>
    </row>
    <row r="3772" spans="1:11">
      <c r="A3772" s="90" t="s">
        <v>5558</v>
      </c>
      <c r="B3772" s="90" t="s">
        <v>5559</v>
      </c>
      <c r="C3772" s="90" t="s">
        <v>12</v>
      </c>
      <c r="D3772" s="90" t="str">
        <f>VLOOKUP(Tabela1[[#This Row],[Origem]],'Perguntas 1 a 24'!$J$28:$K$34,2,FALSE)</f>
        <v>Sudeste</v>
      </c>
      <c r="E3772" s="90" t="s">
        <v>15098</v>
      </c>
      <c r="F3772" s="91">
        <v>47766</v>
      </c>
      <c r="G3772" s="92">
        <v>103582</v>
      </c>
      <c r="H3772" s="90" t="s">
        <v>14</v>
      </c>
      <c r="I377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2" s="90" t="s">
        <v>5535</v>
      </c>
    </row>
    <row r="3773" spans="1:11">
      <c r="A3773" s="90" t="s">
        <v>5228</v>
      </c>
      <c r="B3773" s="90" t="s">
        <v>5229</v>
      </c>
      <c r="C3773" s="90" t="s">
        <v>13</v>
      </c>
      <c r="D3773" s="90" t="str">
        <f>VLOOKUP(Tabela1[[#This Row],[Origem]],'Perguntas 1 a 24'!$J$28:$K$34,2,FALSE)</f>
        <v>Sudeste</v>
      </c>
      <c r="E3773" s="90" t="s">
        <v>15099</v>
      </c>
      <c r="F3773" s="91">
        <v>47767</v>
      </c>
      <c r="G3773" s="92">
        <v>32321</v>
      </c>
      <c r="H3773" s="90" t="s">
        <v>11</v>
      </c>
      <c r="I377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3" s="90" t="s">
        <v>7261</v>
      </c>
    </row>
    <row r="3774" spans="1:11">
      <c r="A3774" s="90" t="s">
        <v>9561</v>
      </c>
      <c r="B3774" s="90" t="s">
        <v>9562</v>
      </c>
      <c r="C3774" s="90" t="s">
        <v>8</v>
      </c>
      <c r="D3774" s="90" t="str">
        <f>VLOOKUP(Tabela1[[#This Row],[Origem]],'Perguntas 1 a 24'!$J$28:$K$34,2,FALSE)</f>
        <v>Nordeste</v>
      </c>
      <c r="E3774" s="90" t="s">
        <v>15100</v>
      </c>
      <c r="F3774" s="91">
        <v>47767</v>
      </c>
      <c r="G3774" s="92">
        <v>89849</v>
      </c>
      <c r="H3774" s="90" t="s">
        <v>7</v>
      </c>
      <c r="I377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4" s="90" t="s">
        <v>7491</v>
      </c>
    </row>
    <row r="3775" spans="1:11">
      <c r="A3775" s="90" t="s">
        <v>8865</v>
      </c>
      <c r="B3775" s="90" t="s">
        <v>8866</v>
      </c>
      <c r="C3775" s="90" t="s">
        <v>16</v>
      </c>
      <c r="D3775" s="90" t="str">
        <f>VLOOKUP(Tabela1[[#This Row],[Origem]],'Perguntas 1 a 24'!$J$28:$K$34,2,FALSE)</f>
        <v>Sudeste</v>
      </c>
      <c r="E3775" s="90" t="s">
        <v>15101</v>
      </c>
      <c r="F3775" s="91">
        <v>47768</v>
      </c>
      <c r="G3775" s="92">
        <v>116935</v>
      </c>
      <c r="H3775" s="90" t="s">
        <v>7</v>
      </c>
      <c r="I377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5" s="90" t="s">
        <v>6347</v>
      </c>
    </row>
    <row r="3776" spans="1:11">
      <c r="A3776" s="90" t="s">
        <v>7974</v>
      </c>
      <c r="B3776" s="90" t="s">
        <v>7975</v>
      </c>
      <c r="C3776" s="90" t="s">
        <v>6</v>
      </c>
      <c r="D3776" s="90" t="str">
        <f>VLOOKUP(Tabela1[[#This Row],[Origem]],'Perguntas 1 a 24'!$J$28:$K$34,2,FALSE)</f>
        <v>Nordeste</v>
      </c>
      <c r="E3776" s="90" t="s">
        <v>15102</v>
      </c>
      <c r="F3776" s="91">
        <v>47769</v>
      </c>
      <c r="G3776" s="92">
        <v>48511</v>
      </c>
      <c r="H3776" s="90" t="s">
        <v>9</v>
      </c>
      <c r="I377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6" s="90" t="s">
        <v>10212</v>
      </c>
    </row>
    <row r="3777" spans="1:11">
      <c r="A3777" s="90" t="s">
        <v>9845</v>
      </c>
      <c r="B3777" s="90" t="s">
        <v>9846</v>
      </c>
      <c r="C3777" s="90" t="s">
        <v>10</v>
      </c>
      <c r="D3777" s="90" t="str">
        <f>VLOOKUP(Tabela1[[#This Row],[Origem]],'Perguntas 1 a 24'!$J$28:$K$34,2,FALSE)</f>
        <v>Centro-Oeste</v>
      </c>
      <c r="E3777" s="90" t="s">
        <v>15103</v>
      </c>
      <c r="F3777" s="91">
        <v>47770</v>
      </c>
      <c r="G3777" s="92">
        <v>104608</v>
      </c>
      <c r="H3777" s="90" t="s">
        <v>14</v>
      </c>
      <c r="I377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7" s="90" t="s">
        <v>10338</v>
      </c>
    </row>
    <row r="3778" spans="1:11">
      <c r="A3778" s="90" t="s">
        <v>8150</v>
      </c>
      <c r="B3778" s="90" t="s">
        <v>8151</v>
      </c>
      <c r="C3778" s="90" t="s">
        <v>13</v>
      </c>
      <c r="D3778" s="90" t="str">
        <f>VLOOKUP(Tabela1[[#This Row],[Origem]],'Perguntas 1 a 24'!$J$28:$K$34,2,FALSE)</f>
        <v>Sudeste</v>
      </c>
      <c r="E3778" s="90" t="s">
        <v>15104</v>
      </c>
      <c r="F3778" s="91">
        <v>47771</v>
      </c>
      <c r="G3778" s="92">
        <v>119819</v>
      </c>
      <c r="H3778" s="90" t="s">
        <v>9</v>
      </c>
      <c r="I377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8" s="90" t="s">
        <v>6237</v>
      </c>
    </row>
    <row r="3779" spans="1:11">
      <c r="A3779" s="90" t="s">
        <v>9481</v>
      </c>
      <c r="B3779" s="90" t="s">
        <v>9482</v>
      </c>
      <c r="C3779" s="90" t="s">
        <v>13</v>
      </c>
      <c r="D3779" s="90" t="str">
        <f>VLOOKUP(Tabela1[[#This Row],[Origem]],'Perguntas 1 a 24'!$J$28:$K$34,2,FALSE)</f>
        <v>Sudeste</v>
      </c>
      <c r="E3779" s="90" t="s">
        <v>15105</v>
      </c>
      <c r="F3779" s="91">
        <v>47772</v>
      </c>
      <c r="G3779" s="92">
        <v>100684</v>
      </c>
      <c r="H3779" s="90" t="s">
        <v>9</v>
      </c>
      <c r="I377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79" s="90" t="s">
        <v>8293</v>
      </c>
    </row>
    <row r="3780" spans="1:11">
      <c r="A3780" s="90" t="s">
        <v>5420</v>
      </c>
      <c r="B3780" s="90" t="s">
        <v>5421</v>
      </c>
      <c r="C3780" s="90" t="s">
        <v>8</v>
      </c>
      <c r="D3780" s="90" t="str">
        <f>VLOOKUP(Tabela1[[#This Row],[Origem]],'Perguntas 1 a 24'!$J$28:$K$34,2,FALSE)</f>
        <v>Nordeste</v>
      </c>
      <c r="E3780" s="90" t="s">
        <v>15106</v>
      </c>
      <c r="F3780" s="91">
        <v>47773</v>
      </c>
      <c r="G3780" s="92">
        <v>39123</v>
      </c>
      <c r="H3780" s="90" t="s">
        <v>14</v>
      </c>
      <c r="I378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0" s="90" t="s">
        <v>3803</v>
      </c>
    </row>
    <row r="3781" spans="1:11">
      <c r="A3781" s="90" t="s">
        <v>4852</v>
      </c>
      <c r="B3781" s="90" t="s">
        <v>4853</v>
      </c>
      <c r="C3781" s="90" t="s">
        <v>13</v>
      </c>
      <c r="D3781" s="90" t="str">
        <f>VLOOKUP(Tabela1[[#This Row],[Origem]],'Perguntas 1 a 24'!$J$28:$K$34,2,FALSE)</f>
        <v>Sudeste</v>
      </c>
      <c r="E3781" s="90" t="s">
        <v>15107</v>
      </c>
      <c r="F3781" s="91">
        <v>47774</v>
      </c>
      <c r="G3781" s="92">
        <v>21017</v>
      </c>
      <c r="H3781" s="90" t="s">
        <v>9</v>
      </c>
      <c r="I378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1" s="90" t="s">
        <v>4310</v>
      </c>
    </row>
    <row r="3782" spans="1:11">
      <c r="A3782" s="90" t="s">
        <v>6506</v>
      </c>
      <c r="B3782" s="90" t="s">
        <v>6507</v>
      </c>
      <c r="C3782" s="90" t="s">
        <v>16</v>
      </c>
      <c r="D3782" s="90" t="str">
        <f>VLOOKUP(Tabela1[[#This Row],[Origem]],'Perguntas 1 a 24'!$J$28:$K$34,2,FALSE)</f>
        <v>Sudeste</v>
      </c>
      <c r="E3782" s="90" t="s">
        <v>15108</v>
      </c>
      <c r="F3782" s="91">
        <v>47774</v>
      </c>
      <c r="G3782" s="92">
        <v>87706</v>
      </c>
      <c r="H3782" s="90" t="s">
        <v>14</v>
      </c>
      <c r="I378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2" s="90" t="s">
        <v>7315</v>
      </c>
    </row>
    <row r="3783" spans="1:11">
      <c r="A3783" s="90" t="s">
        <v>9681</v>
      </c>
      <c r="B3783" s="90" t="s">
        <v>9682</v>
      </c>
      <c r="C3783" s="90" t="s">
        <v>6</v>
      </c>
      <c r="D3783" s="90" t="str">
        <f>VLOOKUP(Tabela1[[#This Row],[Origem]],'Perguntas 1 a 24'!$J$28:$K$34,2,FALSE)</f>
        <v>Nordeste</v>
      </c>
      <c r="E3783" s="90" t="s">
        <v>15109</v>
      </c>
      <c r="F3783" s="91">
        <v>47774</v>
      </c>
      <c r="G3783" s="92">
        <v>35072</v>
      </c>
      <c r="H3783" s="90" t="s">
        <v>9</v>
      </c>
      <c r="I378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3" s="90" t="s">
        <v>9796</v>
      </c>
    </row>
    <row r="3784" spans="1:11">
      <c r="A3784" s="90" t="s">
        <v>10447</v>
      </c>
      <c r="B3784" s="90" t="s">
        <v>10448</v>
      </c>
      <c r="C3784" s="90" t="s">
        <v>16</v>
      </c>
      <c r="D3784" s="90" t="str">
        <f>VLOOKUP(Tabela1[[#This Row],[Origem]],'Perguntas 1 a 24'!$J$28:$K$34,2,FALSE)</f>
        <v>Sudeste</v>
      </c>
      <c r="E3784" s="90" t="s">
        <v>15110</v>
      </c>
      <c r="F3784" s="91">
        <v>47774</v>
      </c>
      <c r="G3784" s="92">
        <v>58579</v>
      </c>
      <c r="H3784" s="90" t="s">
        <v>11</v>
      </c>
      <c r="I378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4" s="90" t="s">
        <v>11220</v>
      </c>
    </row>
    <row r="3785" spans="1:11">
      <c r="A3785" s="90" t="s">
        <v>5534</v>
      </c>
      <c r="B3785" s="90" t="s">
        <v>5535</v>
      </c>
      <c r="C3785" s="90" t="s">
        <v>6</v>
      </c>
      <c r="D3785" s="90" t="str">
        <f>VLOOKUP(Tabela1[[#This Row],[Origem]],'Perguntas 1 a 24'!$J$28:$K$34,2,FALSE)</f>
        <v>Nordeste</v>
      </c>
      <c r="E3785" s="90" t="s">
        <v>15111</v>
      </c>
      <c r="F3785" s="91">
        <v>47776</v>
      </c>
      <c r="G3785" s="92">
        <v>79098</v>
      </c>
      <c r="H3785" s="90" t="s">
        <v>9</v>
      </c>
      <c r="I378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5" s="90" t="s">
        <v>4458</v>
      </c>
    </row>
    <row r="3786" spans="1:11">
      <c r="A3786" s="90" t="s">
        <v>7260</v>
      </c>
      <c r="B3786" s="90" t="s">
        <v>7261</v>
      </c>
      <c r="C3786" s="90" t="s">
        <v>12</v>
      </c>
      <c r="D3786" s="90" t="str">
        <f>VLOOKUP(Tabela1[[#This Row],[Origem]],'Perguntas 1 a 24'!$J$28:$K$34,2,FALSE)</f>
        <v>Sudeste</v>
      </c>
      <c r="E3786" s="90" t="s">
        <v>15112</v>
      </c>
      <c r="F3786" s="91">
        <v>47776</v>
      </c>
      <c r="G3786" s="92">
        <v>109487</v>
      </c>
      <c r="H3786" s="90" t="s">
        <v>7</v>
      </c>
      <c r="I378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6" s="90" t="s">
        <v>4805</v>
      </c>
    </row>
    <row r="3787" spans="1:11">
      <c r="A3787" s="90" t="s">
        <v>7490</v>
      </c>
      <c r="B3787" s="90" t="s">
        <v>7491</v>
      </c>
      <c r="C3787" s="90" t="s">
        <v>15</v>
      </c>
      <c r="D3787" s="90" t="str">
        <f>VLOOKUP(Tabela1[[#This Row],[Origem]],'Perguntas 1 a 24'!$J$28:$K$34,2,FALSE)</f>
        <v>Sudeste</v>
      </c>
      <c r="E3787" s="90" t="s">
        <v>15113</v>
      </c>
      <c r="F3787" s="91">
        <v>47776</v>
      </c>
      <c r="G3787" s="92">
        <v>42357</v>
      </c>
      <c r="H3787" s="90" t="s">
        <v>9</v>
      </c>
      <c r="I378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7" s="90" t="s">
        <v>6625</v>
      </c>
    </row>
    <row r="3788" spans="1:11">
      <c r="A3788" s="90" t="s">
        <v>6346</v>
      </c>
      <c r="B3788" s="90" t="s">
        <v>6347</v>
      </c>
      <c r="C3788" s="90" t="s">
        <v>13</v>
      </c>
      <c r="D3788" s="90" t="str">
        <f>VLOOKUP(Tabela1[[#This Row],[Origem]],'Perguntas 1 a 24'!$J$28:$K$34,2,FALSE)</f>
        <v>Sudeste</v>
      </c>
      <c r="E3788" s="90" t="s">
        <v>15114</v>
      </c>
      <c r="F3788" s="91">
        <v>47779</v>
      </c>
      <c r="G3788" s="92">
        <v>115556</v>
      </c>
      <c r="H3788" s="90" t="s">
        <v>7</v>
      </c>
      <c r="I378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8" s="90" t="s">
        <v>9728</v>
      </c>
    </row>
    <row r="3789" spans="1:11">
      <c r="A3789" s="90" t="s">
        <v>10211</v>
      </c>
      <c r="B3789" s="90" t="s">
        <v>10212</v>
      </c>
      <c r="C3789" s="90" t="s">
        <v>16</v>
      </c>
      <c r="D3789" s="90" t="str">
        <f>VLOOKUP(Tabela1[[#This Row],[Origem]],'Perguntas 1 a 24'!$J$28:$K$34,2,FALSE)</f>
        <v>Sudeste</v>
      </c>
      <c r="E3789" s="90" t="s">
        <v>15115</v>
      </c>
      <c r="F3789" s="91">
        <v>47779</v>
      </c>
      <c r="G3789" s="92">
        <v>85352</v>
      </c>
      <c r="H3789" s="90" t="s">
        <v>14</v>
      </c>
      <c r="I378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89" s="90" t="s">
        <v>10224</v>
      </c>
    </row>
    <row r="3790" spans="1:11">
      <c r="A3790" s="90" t="s">
        <v>10337</v>
      </c>
      <c r="B3790" s="90" t="s">
        <v>10338</v>
      </c>
      <c r="C3790" s="90" t="s">
        <v>12</v>
      </c>
      <c r="D3790" s="90" t="str">
        <f>VLOOKUP(Tabela1[[#This Row],[Origem]],'Perguntas 1 a 24'!$J$28:$K$34,2,FALSE)</f>
        <v>Sudeste</v>
      </c>
      <c r="E3790" s="90" t="s">
        <v>15116</v>
      </c>
      <c r="F3790" s="91">
        <v>47779</v>
      </c>
      <c r="G3790" s="92">
        <v>71032</v>
      </c>
      <c r="H3790" s="90" t="s">
        <v>14</v>
      </c>
      <c r="I379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0" s="90" t="s">
        <v>10382</v>
      </c>
    </row>
    <row r="3791" spans="1:11">
      <c r="A3791" s="90" t="s">
        <v>6236</v>
      </c>
      <c r="B3791" s="90" t="s">
        <v>6237</v>
      </c>
      <c r="C3791" s="90" t="s">
        <v>15</v>
      </c>
      <c r="D3791" s="90" t="str">
        <f>VLOOKUP(Tabela1[[#This Row],[Origem]],'Perguntas 1 a 24'!$J$28:$K$34,2,FALSE)</f>
        <v>Sudeste</v>
      </c>
      <c r="E3791" s="90" t="s">
        <v>15117</v>
      </c>
      <c r="F3791" s="91">
        <v>47781</v>
      </c>
      <c r="G3791" s="92">
        <v>119016</v>
      </c>
      <c r="H3791" s="90" t="s">
        <v>9</v>
      </c>
      <c r="I379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1" s="90" t="s">
        <v>9426</v>
      </c>
    </row>
    <row r="3792" spans="1:11">
      <c r="A3792" s="90" t="s">
        <v>8292</v>
      </c>
      <c r="B3792" s="90" t="s">
        <v>8293</v>
      </c>
      <c r="C3792" s="90" t="s">
        <v>10</v>
      </c>
      <c r="D3792" s="90" t="str">
        <f>VLOOKUP(Tabela1[[#This Row],[Origem]],'Perguntas 1 a 24'!$J$28:$K$34,2,FALSE)</f>
        <v>Centro-Oeste</v>
      </c>
      <c r="E3792" s="90" t="s">
        <v>15118</v>
      </c>
      <c r="F3792" s="91">
        <v>47781</v>
      </c>
      <c r="G3792" s="92">
        <v>72583</v>
      </c>
      <c r="H3792" s="90" t="s">
        <v>14</v>
      </c>
      <c r="I379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2" s="90" t="s">
        <v>11202</v>
      </c>
    </row>
    <row r="3793" spans="1:11">
      <c r="A3793" s="90" t="s">
        <v>3802</v>
      </c>
      <c r="B3793" s="90" t="s">
        <v>3803</v>
      </c>
      <c r="C3793" s="90" t="s">
        <v>10</v>
      </c>
      <c r="D3793" s="90" t="str">
        <f>VLOOKUP(Tabela1[[#This Row],[Origem]],'Perguntas 1 a 24'!$J$28:$K$34,2,FALSE)</f>
        <v>Centro-Oeste</v>
      </c>
      <c r="E3793" s="90" t="s">
        <v>15119</v>
      </c>
      <c r="F3793" s="91">
        <v>47783</v>
      </c>
      <c r="G3793" s="92">
        <v>109408</v>
      </c>
      <c r="H3793" s="90" t="s">
        <v>14</v>
      </c>
      <c r="I379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3" s="90" t="s">
        <v>4913</v>
      </c>
    </row>
    <row r="3794" spans="1:11">
      <c r="A3794" s="90" t="s">
        <v>4309</v>
      </c>
      <c r="B3794" s="90" t="s">
        <v>4310</v>
      </c>
      <c r="C3794" s="90" t="s">
        <v>10</v>
      </c>
      <c r="D3794" s="90" t="str">
        <f>VLOOKUP(Tabela1[[#This Row],[Origem]],'Perguntas 1 a 24'!$J$28:$K$34,2,FALSE)</f>
        <v>Centro-Oeste</v>
      </c>
      <c r="E3794" s="90" t="s">
        <v>15120</v>
      </c>
      <c r="F3794" s="91">
        <v>47784</v>
      </c>
      <c r="G3794" s="92">
        <v>23960</v>
      </c>
      <c r="H3794" s="90" t="s">
        <v>9</v>
      </c>
      <c r="I379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4" s="90" t="s">
        <v>4611</v>
      </c>
    </row>
    <row r="3795" spans="1:11">
      <c r="A3795" s="90" t="s">
        <v>7314</v>
      </c>
      <c r="B3795" s="90" t="s">
        <v>7315</v>
      </c>
      <c r="C3795" s="90" t="s">
        <v>16</v>
      </c>
      <c r="D3795" s="90" t="str">
        <f>VLOOKUP(Tabela1[[#This Row],[Origem]],'Perguntas 1 a 24'!$J$28:$K$34,2,FALSE)</f>
        <v>Sudeste</v>
      </c>
      <c r="E3795" s="90" t="s">
        <v>15121</v>
      </c>
      <c r="F3795" s="91">
        <v>47784</v>
      </c>
      <c r="G3795" s="92">
        <v>94763</v>
      </c>
      <c r="H3795" s="90" t="s">
        <v>11</v>
      </c>
      <c r="I379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5" s="90" t="s">
        <v>7967</v>
      </c>
    </row>
    <row r="3796" spans="1:11">
      <c r="A3796" s="90" t="s">
        <v>9795</v>
      </c>
      <c r="B3796" s="90" t="s">
        <v>9796</v>
      </c>
      <c r="C3796" s="90" t="s">
        <v>16</v>
      </c>
      <c r="D3796" s="90" t="str">
        <f>VLOOKUP(Tabela1[[#This Row],[Origem]],'Perguntas 1 a 24'!$J$28:$K$34,2,FALSE)</f>
        <v>Sudeste</v>
      </c>
      <c r="E3796" s="90" t="s">
        <v>15122</v>
      </c>
      <c r="F3796" s="91">
        <v>47784</v>
      </c>
      <c r="G3796" s="92">
        <v>100150</v>
      </c>
      <c r="H3796" s="90" t="s">
        <v>11</v>
      </c>
      <c r="I379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6" s="90" t="s">
        <v>5669</v>
      </c>
    </row>
    <row r="3797" spans="1:11">
      <c r="A3797" s="90" t="s">
        <v>11219</v>
      </c>
      <c r="B3797" s="90" t="s">
        <v>11220</v>
      </c>
      <c r="C3797" s="90" t="s">
        <v>10</v>
      </c>
      <c r="D3797" s="90" t="str">
        <f>VLOOKUP(Tabela1[[#This Row],[Origem]],'Perguntas 1 a 24'!$J$28:$K$34,2,FALSE)</f>
        <v>Centro-Oeste</v>
      </c>
      <c r="E3797" s="90" t="s">
        <v>15123</v>
      </c>
      <c r="F3797" s="91">
        <v>47784</v>
      </c>
      <c r="G3797" s="92">
        <v>103745</v>
      </c>
      <c r="H3797" s="90" t="s">
        <v>7</v>
      </c>
      <c r="I379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7" s="90" t="s">
        <v>10780</v>
      </c>
    </row>
    <row r="3798" spans="1:11">
      <c r="A3798" s="90" t="s">
        <v>4457</v>
      </c>
      <c r="B3798" s="90" t="s">
        <v>4458</v>
      </c>
      <c r="C3798" s="90" t="s">
        <v>10</v>
      </c>
      <c r="D3798" s="90" t="str">
        <f>VLOOKUP(Tabela1[[#This Row],[Origem]],'Perguntas 1 a 24'!$J$28:$K$34,2,FALSE)</f>
        <v>Centro-Oeste</v>
      </c>
      <c r="E3798" s="90" t="s">
        <v>15124</v>
      </c>
      <c r="F3798" s="91">
        <v>47785</v>
      </c>
      <c r="G3798" s="92">
        <v>73119</v>
      </c>
      <c r="H3798" s="90" t="s">
        <v>7</v>
      </c>
      <c r="I379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8" s="90" t="s">
        <v>8441</v>
      </c>
    </row>
    <row r="3799" spans="1:11">
      <c r="A3799" s="90" t="s">
        <v>4804</v>
      </c>
      <c r="B3799" s="90" t="s">
        <v>4805</v>
      </c>
      <c r="C3799" s="90" t="s">
        <v>16</v>
      </c>
      <c r="D3799" s="90" t="str">
        <f>VLOOKUP(Tabela1[[#This Row],[Origem]],'Perguntas 1 a 24'!$J$28:$K$34,2,FALSE)</f>
        <v>Sudeste</v>
      </c>
      <c r="E3799" s="90" t="s">
        <v>15125</v>
      </c>
      <c r="F3799" s="91">
        <v>47785</v>
      </c>
      <c r="G3799" s="92">
        <v>30493</v>
      </c>
      <c r="H3799" s="90" t="s">
        <v>9</v>
      </c>
      <c r="I379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799" s="90" t="s">
        <v>5469</v>
      </c>
    </row>
    <row r="3800" spans="1:11">
      <c r="A3800" s="90" t="s">
        <v>6624</v>
      </c>
      <c r="B3800" s="90" t="s">
        <v>6625</v>
      </c>
      <c r="C3800" s="90" t="s">
        <v>12</v>
      </c>
      <c r="D3800" s="90" t="str">
        <f>VLOOKUP(Tabela1[[#This Row],[Origem]],'Perguntas 1 a 24'!$J$28:$K$34,2,FALSE)</f>
        <v>Sudeste</v>
      </c>
      <c r="E3800" s="90" t="s">
        <v>15126</v>
      </c>
      <c r="F3800" s="91">
        <v>47785</v>
      </c>
      <c r="G3800" s="92">
        <v>49989</v>
      </c>
      <c r="H3800" s="90" t="s">
        <v>14</v>
      </c>
      <c r="I380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0" s="90" t="s">
        <v>4877</v>
      </c>
    </row>
    <row r="3801" spans="1:11">
      <c r="A3801" s="90" t="s">
        <v>9727</v>
      </c>
      <c r="B3801" s="90" t="s">
        <v>9728</v>
      </c>
      <c r="C3801" s="90" t="s">
        <v>12</v>
      </c>
      <c r="D3801" s="90" t="str">
        <f>VLOOKUP(Tabela1[[#This Row],[Origem]],'Perguntas 1 a 24'!$J$28:$K$34,2,FALSE)</f>
        <v>Sudeste</v>
      </c>
      <c r="E3801" s="90" t="s">
        <v>15127</v>
      </c>
      <c r="F3801" s="91">
        <v>47785</v>
      </c>
      <c r="G3801" s="92">
        <v>91066</v>
      </c>
      <c r="H3801" s="90" t="s">
        <v>11</v>
      </c>
      <c r="I380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1" s="90" t="s">
        <v>8045</v>
      </c>
    </row>
    <row r="3802" spans="1:11">
      <c r="A3802" s="90" t="s">
        <v>10223</v>
      </c>
      <c r="B3802" s="90" t="s">
        <v>10224</v>
      </c>
      <c r="C3802" s="90" t="s">
        <v>12</v>
      </c>
      <c r="D3802" s="90" t="str">
        <f>VLOOKUP(Tabela1[[#This Row],[Origem]],'Perguntas 1 a 24'!$J$28:$K$34,2,FALSE)</f>
        <v>Sudeste</v>
      </c>
      <c r="E3802" s="90" t="s">
        <v>15128</v>
      </c>
      <c r="F3802" s="91">
        <v>47786</v>
      </c>
      <c r="G3802" s="92">
        <v>114522</v>
      </c>
      <c r="H3802" s="90" t="s">
        <v>11</v>
      </c>
      <c r="I380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2" s="90" t="s">
        <v>7703</v>
      </c>
    </row>
    <row r="3803" spans="1:11">
      <c r="A3803" s="90" t="s">
        <v>10381</v>
      </c>
      <c r="B3803" s="90" t="s">
        <v>10382</v>
      </c>
      <c r="C3803" s="90" t="s">
        <v>12</v>
      </c>
      <c r="D3803" s="90" t="str">
        <f>VLOOKUP(Tabela1[[#This Row],[Origem]],'Perguntas 1 a 24'!$J$28:$K$34,2,FALSE)</f>
        <v>Sudeste</v>
      </c>
      <c r="E3803" s="90" t="s">
        <v>15129</v>
      </c>
      <c r="F3803" s="91">
        <v>47786</v>
      </c>
      <c r="G3803" s="92">
        <v>25833</v>
      </c>
      <c r="H3803" s="90" t="s">
        <v>11</v>
      </c>
      <c r="I380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3" s="90" t="s">
        <v>7731</v>
      </c>
    </row>
    <row r="3804" spans="1:11">
      <c r="A3804" s="90" t="s">
        <v>9425</v>
      </c>
      <c r="B3804" s="90" t="s">
        <v>9426</v>
      </c>
      <c r="C3804" s="90" t="s">
        <v>6</v>
      </c>
      <c r="D3804" s="90" t="str">
        <f>VLOOKUP(Tabela1[[#This Row],[Origem]],'Perguntas 1 a 24'!$J$28:$K$34,2,FALSE)</f>
        <v>Nordeste</v>
      </c>
      <c r="E3804" s="90" t="s">
        <v>15130</v>
      </c>
      <c r="F3804" s="91">
        <v>47787</v>
      </c>
      <c r="G3804" s="92">
        <v>108184</v>
      </c>
      <c r="H3804" s="90" t="s">
        <v>9</v>
      </c>
      <c r="I380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4" s="90" t="s">
        <v>3915</v>
      </c>
    </row>
    <row r="3805" spans="1:11">
      <c r="A3805" s="90" t="s">
        <v>11201</v>
      </c>
      <c r="B3805" s="90" t="s">
        <v>11202</v>
      </c>
      <c r="C3805" s="90" t="s">
        <v>16</v>
      </c>
      <c r="D3805" s="90" t="str">
        <f>VLOOKUP(Tabela1[[#This Row],[Origem]],'Perguntas 1 a 24'!$J$28:$K$34,2,FALSE)</f>
        <v>Sudeste</v>
      </c>
      <c r="E3805" s="90" t="s">
        <v>15131</v>
      </c>
      <c r="F3805" s="91">
        <v>47787</v>
      </c>
      <c r="G3805" s="92">
        <v>49506</v>
      </c>
      <c r="H3805" s="90" t="s">
        <v>7</v>
      </c>
      <c r="I380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5" s="90" t="s">
        <v>7559</v>
      </c>
    </row>
    <row r="3806" spans="1:11">
      <c r="A3806" s="90" t="s">
        <v>4912</v>
      </c>
      <c r="B3806" s="90" t="s">
        <v>4913</v>
      </c>
      <c r="C3806" s="90" t="s">
        <v>8</v>
      </c>
      <c r="D3806" s="90" t="str">
        <f>VLOOKUP(Tabela1[[#This Row],[Origem]],'Perguntas 1 a 24'!$J$28:$K$34,2,FALSE)</f>
        <v>Nordeste</v>
      </c>
      <c r="E3806" s="90" t="s">
        <v>15132</v>
      </c>
      <c r="F3806" s="91">
        <v>47788</v>
      </c>
      <c r="G3806" s="92">
        <v>74451</v>
      </c>
      <c r="H3806" s="90" t="s">
        <v>14</v>
      </c>
      <c r="I380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6" s="90" t="s">
        <v>5743</v>
      </c>
    </row>
    <row r="3807" spans="1:11">
      <c r="A3807" s="90" t="s">
        <v>4610</v>
      </c>
      <c r="B3807" s="90" t="s">
        <v>4611</v>
      </c>
      <c r="C3807" s="90" t="s">
        <v>12</v>
      </c>
      <c r="D3807" s="90" t="str">
        <f>VLOOKUP(Tabela1[[#This Row],[Origem]],'Perguntas 1 a 24'!$J$28:$K$34,2,FALSE)</f>
        <v>Sudeste</v>
      </c>
      <c r="E3807" s="90" t="s">
        <v>15133</v>
      </c>
      <c r="F3807" s="91">
        <v>47789</v>
      </c>
      <c r="G3807" s="92">
        <v>53402</v>
      </c>
      <c r="H3807" s="90" t="s">
        <v>14</v>
      </c>
      <c r="I380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7" s="90" t="s">
        <v>5871</v>
      </c>
    </row>
    <row r="3808" spans="1:11">
      <c r="A3808" s="90" t="s">
        <v>7966</v>
      </c>
      <c r="B3808" s="90" t="s">
        <v>7967</v>
      </c>
      <c r="C3808" s="90" t="s">
        <v>13</v>
      </c>
      <c r="D3808" s="90" t="str">
        <f>VLOOKUP(Tabela1[[#This Row],[Origem]],'Perguntas 1 a 24'!$J$28:$K$34,2,FALSE)</f>
        <v>Sudeste</v>
      </c>
      <c r="E3808" s="90" t="s">
        <v>15134</v>
      </c>
      <c r="F3808" s="91">
        <v>47789</v>
      </c>
      <c r="G3808" s="92">
        <v>43876</v>
      </c>
      <c r="H3808" s="90" t="s">
        <v>14</v>
      </c>
      <c r="I380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8" s="90" t="s">
        <v>7363</v>
      </c>
    </row>
    <row r="3809" spans="1:11">
      <c r="A3809" s="90" t="s">
        <v>5668</v>
      </c>
      <c r="B3809" s="90" t="s">
        <v>5669</v>
      </c>
      <c r="C3809" s="90" t="s">
        <v>13</v>
      </c>
      <c r="D3809" s="90" t="str">
        <f>VLOOKUP(Tabela1[[#This Row],[Origem]],'Perguntas 1 a 24'!$J$28:$K$34,2,FALSE)</f>
        <v>Sudeste</v>
      </c>
      <c r="E3809" s="90" t="s">
        <v>15135</v>
      </c>
      <c r="F3809" s="91">
        <v>47790</v>
      </c>
      <c r="G3809" s="92">
        <v>99132</v>
      </c>
      <c r="H3809" s="90" t="s">
        <v>14</v>
      </c>
      <c r="I380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09" s="90" t="s">
        <v>6087</v>
      </c>
    </row>
    <row r="3810" spans="1:11">
      <c r="A3810" s="90" t="s">
        <v>10779</v>
      </c>
      <c r="B3810" s="90" t="s">
        <v>10780</v>
      </c>
      <c r="C3810" s="90" t="s">
        <v>15</v>
      </c>
      <c r="D3810" s="90" t="str">
        <f>VLOOKUP(Tabela1[[#This Row],[Origem]],'Perguntas 1 a 24'!$J$28:$K$34,2,FALSE)</f>
        <v>Sudeste</v>
      </c>
      <c r="E3810" s="90" t="s">
        <v>15136</v>
      </c>
      <c r="F3810" s="91">
        <v>47790</v>
      </c>
      <c r="G3810" s="92">
        <v>41359</v>
      </c>
      <c r="H3810" s="90" t="s">
        <v>11</v>
      </c>
      <c r="I381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0" s="90" t="s">
        <v>6603</v>
      </c>
    </row>
    <row r="3811" spans="1:11">
      <c r="A3811" s="90" t="s">
        <v>8440</v>
      </c>
      <c r="B3811" s="90" t="s">
        <v>8441</v>
      </c>
      <c r="C3811" s="90" t="s">
        <v>6</v>
      </c>
      <c r="D3811" s="90" t="str">
        <f>VLOOKUP(Tabela1[[#This Row],[Origem]],'Perguntas 1 a 24'!$J$28:$K$34,2,FALSE)</f>
        <v>Nordeste</v>
      </c>
      <c r="E3811" s="90" t="s">
        <v>15137</v>
      </c>
      <c r="F3811" s="91">
        <v>47791</v>
      </c>
      <c r="G3811" s="92">
        <v>111507</v>
      </c>
      <c r="H3811" s="90" t="s">
        <v>11</v>
      </c>
      <c r="I381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1" s="90" t="s">
        <v>4372</v>
      </c>
    </row>
    <row r="3812" spans="1:11">
      <c r="A3812" s="90" t="s">
        <v>5468</v>
      </c>
      <c r="B3812" s="90" t="s">
        <v>5469</v>
      </c>
      <c r="C3812" s="90" t="s">
        <v>16</v>
      </c>
      <c r="D3812" s="90" t="str">
        <f>VLOOKUP(Tabela1[[#This Row],[Origem]],'Perguntas 1 a 24'!$J$28:$K$34,2,FALSE)</f>
        <v>Sudeste</v>
      </c>
      <c r="E3812" s="90" t="s">
        <v>15138</v>
      </c>
      <c r="F3812" s="91">
        <v>47796</v>
      </c>
      <c r="G3812" s="92">
        <v>114105</v>
      </c>
      <c r="H3812" s="90" t="s">
        <v>14</v>
      </c>
      <c r="I381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2" s="90" t="s">
        <v>6421</v>
      </c>
    </row>
    <row r="3813" spans="1:11">
      <c r="A3813" s="90" t="s">
        <v>4876</v>
      </c>
      <c r="B3813" s="90" t="s">
        <v>4877</v>
      </c>
      <c r="C3813" s="90" t="s">
        <v>10</v>
      </c>
      <c r="D3813" s="90" t="str">
        <f>VLOOKUP(Tabela1[[#This Row],[Origem]],'Perguntas 1 a 24'!$J$28:$K$34,2,FALSE)</f>
        <v>Centro-Oeste</v>
      </c>
      <c r="E3813" s="90" t="s">
        <v>15139</v>
      </c>
      <c r="F3813" s="91">
        <v>47798</v>
      </c>
      <c r="G3813" s="92">
        <v>29465</v>
      </c>
      <c r="H3813" s="90" t="s">
        <v>9</v>
      </c>
      <c r="I381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3" s="90" t="s">
        <v>8177</v>
      </c>
    </row>
    <row r="3814" spans="1:11">
      <c r="A3814" s="90" t="s">
        <v>8044</v>
      </c>
      <c r="B3814" s="90" t="s">
        <v>8045</v>
      </c>
      <c r="C3814" s="90" t="s">
        <v>6</v>
      </c>
      <c r="D3814" s="90" t="str">
        <f>VLOOKUP(Tabela1[[#This Row],[Origem]],'Perguntas 1 a 24'!$J$28:$K$34,2,FALSE)</f>
        <v>Nordeste</v>
      </c>
      <c r="E3814" s="90" t="s">
        <v>15140</v>
      </c>
      <c r="F3814" s="91">
        <v>47799</v>
      </c>
      <c r="G3814" s="92">
        <v>114686</v>
      </c>
      <c r="H3814" s="90" t="s">
        <v>11</v>
      </c>
      <c r="I381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4" s="90" t="s">
        <v>10410</v>
      </c>
    </row>
    <row r="3815" spans="1:11">
      <c r="A3815" s="90" t="s">
        <v>7702</v>
      </c>
      <c r="B3815" s="90" t="s">
        <v>7703</v>
      </c>
      <c r="C3815" s="90" t="s">
        <v>10</v>
      </c>
      <c r="D3815" s="90" t="str">
        <f>VLOOKUP(Tabela1[[#This Row],[Origem]],'Perguntas 1 a 24'!$J$28:$K$34,2,FALSE)</f>
        <v>Centro-Oeste</v>
      </c>
      <c r="E3815" s="90" t="s">
        <v>15141</v>
      </c>
      <c r="F3815" s="91">
        <v>47800</v>
      </c>
      <c r="G3815" s="92">
        <v>91577</v>
      </c>
      <c r="H3815" s="90" t="s">
        <v>11</v>
      </c>
      <c r="I381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5" s="90" t="s">
        <v>3821</v>
      </c>
    </row>
    <row r="3816" spans="1:11">
      <c r="A3816" s="90" t="s">
        <v>7730</v>
      </c>
      <c r="B3816" s="90" t="s">
        <v>7731</v>
      </c>
      <c r="C3816" s="90" t="s">
        <v>16</v>
      </c>
      <c r="D3816" s="90" t="str">
        <f>VLOOKUP(Tabela1[[#This Row],[Origem]],'Perguntas 1 a 24'!$J$28:$K$34,2,FALSE)</f>
        <v>Sudeste</v>
      </c>
      <c r="E3816" s="90" t="s">
        <v>15142</v>
      </c>
      <c r="F3816" s="91">
        <v>47800</v>
      </c>
      <c r="G3816" s="92">
        <v>70852</v>
      </c>
      <c r="H3816" s="90" t="s">
        <v>7</v>
      </c>
      <c r="I381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6" s="90" t="s">
        <v>5459</v>
      </c>
    </row>
    <row r="3817" spans="1:11">
      <c r="A3817" s="90" t="s">
        <v>3914</v>
      </c>
      <c r="B3817" s="90" t="s">
        <v>3915</v>
      </c>
      <c r="C3817" s="90" t="s">
        <v>8</v>
      </c>
      <c r="D3817" s="90" t="str">
        <f>VLOOKUP(Tabela1[[#This Row],[Origem]],'Perguntas 1 a 24'!$J$28:$K$34,2,FALSE)</f>
        <v>Nordeste</v>
      </c>
      <c r="E3817" s="90" t="s">
        <v>15143</v>
      </c>
      <c r="F3817" s="91">
        <v>47801</v>
      </c>
      <c r="G3817" s="92">
        <v>39961</v>
      </c>
      <c r="H3817" s="90" t="s">
        <v>9</v>
      </c>
      <c r="I381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7" s="90" t="s">
        <v>6675</v>
      </c>
    </row>
    <row r="3818" spans="1:11">
      <c r="A3818" s="90" t="s">
        <v>7558</v>
      </c>
      <c r="B3818" s="90" t="s">
        <v>7559</v>
      </c>
      <c r="C3818" s="90" t="s">
        <v>10</v>
      </c>
      <c r="D3818" s="90" t="str">
        <f>VLOOKUP(Tabela1[[#This Row],[Origem]],'Perguntas 1 a 24'!$J$28:$K$34,2,FALSE)</f>
        <v>Centro-Oeste</v>
      </c>
      <c r="E3818" s="90" t="s">
        <v>15144</v>
      </c>
      <c r="F3818" s="91">
        <v>47801</v>
      </c>
      <c r="G3818" s="92">
        <v>28134</v>
      </c>
      <c r="H3818" s="90" t="s">
        <v>9</v>
      </c>
      <c r="I381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8" s="90" t="s">
        <v>10746</v>
      </c>
    </row>
    <row r="3819" spans="1:11">
      <c r="A3819" s="90" t="s">
        <v>5742</v>
      </c>
      <c r="B3819" s="90" t="s">
        <v>5743</v>
      </c>
      <c r="C3819" s="90" t="s">
        <v>6</v>
      </c>
      <c r="D3819" s="90" t="str">
        <f>VLOOKUP(Tabela1[[#This Row],[Origem]],'Perguntas 1 a 24'!$J$28:$K$34,2,FALSE)</f>
        <v>Nordeste</v>
      </c>
      <c r="E3819" s="90" t="s">
        <v>15145</v>
      </c>
      <c r="F3819" s="91">
        <v>47802</v>
      </c>
      <c r="G3819" s="92">
        <v>109438</v>
      </c>
      <c r="H3819" s="90" t="s">
        <v>14</v>
      </c>
      <c r="I381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19" s="90" t="s">
        <v>7585</v>
      </c>
    </row>
    <row r="3820" spans="1:11">
      <c r="A3820" s="90" t="s">
        <v>5870</v>
      </c>
      <c r="B3820" s="90" t="s">
        <v>5871</v>
      </c>
      <c r="C3820" s="90" t="s">
        <v>12</v>
      </c>
      <c r="D3820" s="90" t="str">
        <f>VLOOKUP(Tabela1[[#This Row],[Origem]],'Perguntas 1 a 24'!$J$28:$K$34,2,FALSE)</f>
        <v>Sudeste</v>
      </c>
      <c r="E3820" s="90" t="s">
        <v>15146</v>
      </c>
      <c r="F3820" s="91">
        <v>47802</v>
      </c>
      <c r="G3820" s="92">
        <v>110873</v>
      </c>
      <c r="H3820" s="90" t="s">
        <v>7</v>
      </c>
      <c r="I382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0" s="90" t="s">
        <v>9894</v>
      </c>
    </row>
    <row r="3821" spans="1:11">
      <c r="A3821" s="90" t="s">
        <v>7362</v>
      </c>
      <c r="B3821" s="90" t="s">
        <v>7363</v>
      </c>
      <c r="C3821" s="90" t="s">
        <v>12</v>
      </c>
      <c r="D3821" s="90" t="str">
        <f>VLOOKUP(Tabela1[[#This Row],[Origem]],'Perguntas 1 a 24'!$J$28:$K$34,2,FALSE)</f>
        <v>Sudeste</v>
      </c>
      <c r="E3821" s="90" t="s">
        <v>15147</v>
      </c>
      <c r="F3821" s="91">
        <v>47802</v>
      </c>
      <c r="G3821" s="92">
        <v>90779</v>
      </c>
      <c r="H3821" s="90" t="s">
        <v>9</v>
      </c>
      <c r="I382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1" s="90" t="s">
        <v>10054</v>
      </c>
    </row>
    <row r="3822" spans="1:11">
      <c r="A3822" s="90" t="s">
        <v>6086</v>
      </c>
      <c r="B3822" s="90" t="s">
        <v>6087</v>
      </c>
      <c r="C3822" s="90" t="s">
        <v>6</v>
      </c>
      <c r="D3822" s="90" t="str">
        <f>VLOOKUP(Tabela1[[#This Row],[Origem]],'Perguntas 1 a 24'!$J$28:$K$34,2,FALSE)</f>
        <v>Nordeste</v>
      </c>
      <c r="E3822" s="90" t="s">
        <v>15148</v>
      </c>
      <c r="F3822" s="91">
        <v>47803</v>
      </c>
      <c r="G3822" s="92">
        <v>117141</v>
      </c>
      <c r="H3822" s="90" t="s">
        <v>7</v>
      </c>
      <c r="I382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2" s="90" t="s">
        <v>11280</v>
      </c>
    </row>
    <row r="3823" spans="1:11">
      <c r="A3823" s="90" t="s">
        <v>6602</v>
      </c>
      <c r="B3823" s="90" t="s">
        <v>6603</v>
      </c>
      <c r="C3823" s="90" t="s">
        <v>10</v>
      </c>
      <c r="D3823" s="90" t="str">
        <f>VLOOKUP(Tabela1[[#This Row],[Origem]],'Perguntas 1 a 24'!$J$28:$K$34,2,FALSE)</f>
        <v>Centro-Oeste</v>
      </c>
      <c r="E3823" s="90" t="s">
        <v>15149</v>
      </c>
      <c r="F3823" s="91">
        <v>47803</v>
      </c>
      <c r="G3823" s="92">
        <v>69494</v>
      </c>
      <c r="H3823" s="90" t="s">
        <v>11</v>
      </c>
      <c r="I382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3" s="90" t="s">
        <v>4597</v>
      </c>
    </row>
    <row r="3824" spans="1:11">
      <c r="A3824" s="90" t="s">
        <v>4371</v>
      </c>
      <c r="B3824" s="90" t="s">
        <v>4372</v>
      </c>
      <c r="C3824" s="90" t="s">
        <v>10</v>
      </c>
      <c r="D3824" s="90" t="str">
        <f>VLOOKUP(Tabela1[[#This Row],[Origem]],'Perguntas 1 a 24'!$J$28:$K$34,2,FALSE)</f>
        <v>Centro-Oeste</v>
      </c>
      <c r="E3824" s="90" t="s">
        <v>15150</v>
      </c>
      <c r="F3824" s="91">
        <v>47804</v>
      </c>
      <c r="G3824" s="92">
        <v>61561</v>
      </c>
      <c r="H3824" s="90" t="s">
        <v>9</v>
      </c>
      <c r="I382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4" s="90" t="s">
        <v>6907</v>
      </c>
    </row>
    <row r="3825" spans="1:11">
      <c r="A3825" s="90" t="s">
        <v>6420</v>
      </c>
      <c r="B3825" s="90" t="s">
        <v>6421</v>
      </c>
      <c r="C3825" s="90" t="s">
        <v>12</v>
      </c>
      <c r="D3825" s="90" t="str">
        <f>VLOOKUP(Tabela1[[#This Row],[Origem]],'Perguntas 1 a 24'!$J$28:$K$34,2,FALSE)</f>
        <v>Sudeste</v>
      </c>
      <c r="E3825" s="90" t="s">
        <v>15151</v>
      </c>
      <c r="F3825" s="91">
        <v>47805</v>
      </c>
      <c r="G3825" s="92">
        <v>91394</v>
      </c>
      <c r="H3825" s="90" t="s">
        <v>11</v>
      </c>
      <c r="I382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5" s="90" t="s">
        <v>5773</v>
      </c>
    </row>
    <row r="3826" spans="1:11">
      <c r="A3826" s="90" t="s">
        <v>8176</v>
      </c>
      <c r="B3826" s="90" t="s">
        <v>8177</v>
      </c>
      <c r="C3826" s="90" t="s">
        <v>10</v>
      </c>
      <c r="D3826" s="90" t="str">
        <f>VLOOKUP(Tabela1[[#This Row],[Origem]],'Perguntas 1 a 24'!$J$28:$K$34,2,FALSE)</f>
        <v>Centro-Oeste</v>
      </c>
      <c r="E3826" s="90" t="s">
        <v>15152</v>
      </c>
      <c r="F3826" s="91">
        <v>47805</v>
      </c>
      <c r="G3826" s="92">
        <v>101848</v>
      </c>
      <c r="H3826" s="90" t="s">
        <v>9</v>
      </c>
      <c r="I382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6" s="90" t="s">
        <v>9632</v>
      </c>
    </row>
    <row r="3827" spans="1:11">
      <c r="A3827" s="90" t="s">
        <v>10409</v>
      </c>
      <c r="B3827" s="90" t="s">
        <v>10410</v>
      </c>
      <c r="C3827" s="90" t="s">
        <v>8</v>
      </c>
      <c r="D3827" s="90" t="str">
        <f>VLOOKUP(Tabela1[[#This Row],[Origem]],'Perguntas 1 a 24'!$J$28:$K$34,2,FALSE)</f>
        <v>Nordeste</v>
      </c>
      <c r="E3827" s="90" t="s">
        <v>15153</v>
      </c>
      <c r="F3827" s="91">
        <v>47806</v>
      </c>
      <c r="G3827" s="92">
        <v>104802</v>
      </c>
      <c r="H3827" s="90" t="s">
        <v>11</v>
      </c>
      <c r="I382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7" s="90" t="s">
        <v>10122</v>
      </c>
    </row>
    <row r="3828" spans="1:11">
      <c r="A3828" s="90" t="s">
        <v>3820</v>
      </c>
      <c r="B3828" s="90" t="s">
        <v>3821</v>
      </c>
      <c r="C3828" s="90" t="s">
        <v>8</v>
      </c>
      <c r="D3828" s="90" t="str">
        <f>VLOOKUP(Tabela1[[#This Row],[Origem]],'Perguntas 1 a 24'!$J$28:$K$34,2,FALSE)</f>
        <v>Nordeste</v>
      </c>
      <c r="E3828" s="90" t="s">
        <v>15154</v>
      </c>
      <c r="F3828" s="91">
        <v>47807</v>
      </c>
      <c r="G3828" s="92">
        <v>29322</v>
      </c>
      <c r="H3828" s="90" t="s">
        <v>11</v>
      </c>
      <c r="I382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8" s="90" t="s">
        <v>4200</v>
      </c>
    </row>
    <row r="3829" spans="1:11">
      <c r="A3829" s="90" t="s">
        <v>5458</v>
      </c>
      <c r="B3829" s="90" t="s">
        <v>5459</v>
      </c>
      <c r="C3829" s="90" t="s">
        <v>12</v>
      </c>
      <c r="D3829" s="90" t="str">
        <f>VLOOKUP(Tabela1[[#This Row],[Origem]],'Perguntas 1 a 24'!$J$28:$K$34,2,FALSE)</f>
        <v>Sudeste</v>
      </c>
      <c r="E3829" s="90" t="s">
        <v>15155</v>
      </c>
      <c r="F3829" s="91">
        <v>47808</v>
      </c>
      <c r="G3829" s="92">
        <v>25002</v>
      </c>
      <c r="H3829" s="90" t="s">
        <v>11</v>
      </c>
      <c r="I382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29" s="90" t="s">
        <v>8842</v>
      </c>
    </row>
    <row r="3830" spans="1:11">
      <c r="A3830" s="90" t="s">
        <v>6674</v>
      </c>
      <c r="B3830" s="90" t="s">
        <v>6675</v>
      </c>
      <c r="C3830" s="90" t="s">
        <v>12</v>
      </c>
      <c r="D3830" s="90" t="str">
        <f>VLOOKUP(Tabela1[[#This Row],[Origem]],'Perguntas 1 a 24'!$J$28:$K$34,2,FALSE)</f>
        <v>Sudeste</v>
      </c>
      <c r="E3830" s="90" t="s">
        <v>15156</v>
      </c>
      <c r="F3830" s="91">
        <v>47809</v>
      </c>
      <c r="G3830" s="92">
        <v>84160</v>
      </c>
      <c r="H3830" s="90" t="s">
        <v>9</v>
      </c>
      <c r="I383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0" s="90" t="s">
        <v>5025</v>
      </c>
    </row>
    <row r="3831" spans="1:11">
      <c r="A3831" s="90" t="s">
        <v>10745</v>
      </c>
      <c r="B3831" s="90" t="s">
        <v>10746</v>
      </c>
      <c r="C3831" s="90" t="s">
        <v>12</v>
      </c>
      <c r="D3831" s="90" t="str">
        <f>VLOOKUP(Tabela1[[#This Row],[Origem]],'Perguntas 1 a 24'!$J$28:$K$34,2,FALSE)</f>
        <v>Sudeste</v>
      </c>
      <c r="E3831" s="90" t="s">
        <v>15157</v>
      </c>
      <c r="F3831" s="91">
        <v>47809</v>
      </c>
      <c r="G3831" s="92">
        <v>39341</v>
      </c>
      <c r="H3831" s="90" t="s">
        <v>14</v>
      </c>
      <c r="I383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1" s="90" t="s">
        <v>10576</v>
      </c>
    </row>
    <row r="3832" spans="1:11">
      <c r="A3832" s="90" t="s">
        <v>7584</v>
      </c>
      <c r="B3832" s="90" t="s">
        <v>7585</v>
      </c>
      <c r="C3832" s="90" t="s">
        <v>8</v>
      </c>
      <c r="D3832" s="90" t="str">
        <f>VLOOKUP(Tabela1[[#This Row],[Origem]],'Perguntas 1 a 24'!$J$28:$K$34,2,FALSE)</f>
        <v>Nordeste</v>
      </c>
      <c r="E3832" s="90" t="s">
        <v>15158</v>
      </c>
      <c r="F3832" s="91">
        <v>47810</v>
      </c>
      <c r="G3832" s="92">
        <v>87631</v>
      </c>
      <c r="H3832" s="90" t="s">
        <v>7</v>
      </c>
      <c r="I383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2" s="90" t="s">
        <v>7763</v>
      </c>
    </row>
    <row r="3833" spans="1:11">
      <c r="A3833" s="90" t="s">
        <v>9893</v>
      </c>
      <c r="B3833" s="90" t="s">
        <v>9894</v>
      </c>
      <c r="C3833" s="90" t="s">
        <v>15</v>
      </c>
      <c r="D3833" s="90" t="str">
        <f>VLOOKUP(Tabela1[[#This Row],[Origem]],'Perguntas 1 a 24'!$J$28:$K$34,2,FALSE)</f>
        <v>Sudeste</v>
      </c>
      <c r="E3833" s="90" t="s">
        <v>15159</v>
      </c>
      <c r="F3833" s="91">
        <v>47810</v>
      </c>
      <c r="G3833" s="92">
        <v>71363</v>
      </c>
      <c r="H3833" s="90" t="s">
        <v>11</v>
      </c>
      <c r="I383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3" s="90" t="s">
        <v>7953</v>
      </c>
    </row>
    <row r="3834" spans="1:11">
      <c r="A3834" s="90" t="s">
        <v>10053</v>
      </c>
      <c r="B3834" s="90" t="s">
        <v>10054</v>
      </c>
      <c r="C3834" s="90" t="s">
        <v>12</v>
      </c>
      <c r="D3834" s="90" t="str">
        <f>VLOOKUP(Tabela1[[#This Row],[Origem]],'Perguntas 1 a 24'!$J$28:$K$34,2,FALSE)</f>
        <v>Sudeste</v>
      </c>
      <c r="E3834" s="90" t="s">
        <v>15160</v>
      </c>
      <c r="F3834" s="91">
        <v>47810</v>
      </c>
      <c r="G3834" s="92">
        <v>54483</v>
      </c>
      <c r="H3834" s="90" t="s">
        <v>11</v>
      </c>
      <c r="I383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4" s="90" t="s">
        <v>3877</v>
      </c>
    </row>
    <row r="3835" spans="1:11">
      <c r="A3835" s="90" t="s">
        <v>11279</v>
      </c>
      <c r="B3835" s="90" t="s">
        <v>11280</v>
      </c>
      <c r="C3835" s="90" t="s">
        <v>10</v>
      </c>
      <c r="D3835" s="90" t="str">
        <f>VLOOKUP(Tabela1[[#This Row],[Origem]],'Perguntas 1 a 24'!$J$28:$K$34,2,FALSE)</f>
        <v>Centro-Oeste</v>
      </c>
      <c r="E3835" s="90" t="s">
        <v>15161</v>
      </c>
      <c r="F3835" s="91">
        <v>47811</v>
      </c>
      <c r="G3835" s="92">
        <v>88297</v>
      </c>
      <c r="H3835" s="90" t="s">
        <v>7</v>
      </c>
      <c r="I383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5" s="90" t="s">
        <v>4575</v>
      </c>
    </row>
    <row r="3836" spans="1:11">
      <c r="A3836" s="90" t="s">
        <v>4596</v>
      </c>
      <c r="B3836" s="90" t="s">
        <v>4597</v>
      </c>
      <c r="C3836" s="90" t="s">
        <v>10</v>
      </c>
      <c r="D3836" s="90" t="str">
        <f>VLOOKUP(Tabela1[[#This Row],[Origem]],'Perguntas 1 a 24'!$J$28:$K$34,2,FALSE)</f>
        <v>Centro-Oeste</v>
      </c>
      <c r="E3836" s="90" t="s">
        <v>15162</v>
      </c>
      <c r="F3836" s="91">
        <v>47812</v>
      </c>
      <c r="G3836" s="92">
        <v>36324</v>
      </c>
      <c r="H3836" s="90" t="s">
        <v>7</v>
      </c>
      <c r="I383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6" s="90" t="s">
        <v>5371</v>
      </c>
    </row>
    <row r="3837" spans="1:11">
      <c r="A3837" s="90" t="s">
        <v>6906</v>
      </c>
      <c r="B3837" s="90" t="s">
        <v>6907</v>
      </c>
      <c r="C3837" s="90" t="s">
        <v>16</v>
      </c>
      <c r="D3837" s="90" t="str">
        <f>VLOOKUP(Tabela1[[#This Row],[Origem]],'Perguntas 1 a 24'!$J$28:$K$34,2,FALSE)</f>
        <v>Sudeste</v>
      </c>
      <c r="E3837" s="90" t="s">
        <v>15163</v>
      </c>
      <c r="F3837" s="91">
        <v>47812</v>
      </c>
      <c r="G3837" s="92">
        <v>70800</v>
      </c>
      <c r="H3837" s="90" t="s">
        <v>14</v>
      </c>
      <c r="I383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7" s="90" t="s">
        <v>9156</v>
      </c>
    </row>
    <row r="3838" spans="1:11">
      <c r="A3838" s="90" t="s">
        <v>5772</v>
      </c>
      <c r="B3838" s="90" t="s">
        <v>5773</v>
      </c>
      <c r="C3838" s="90" t="s">
        <v>15</v>
      </c>
      <c r="D3838" s="90" t="str">
        <f>VLOOKUP(Tabela1[[#This Row],[Origem]],'Perguntas 1 a 24'!$J$28:$K$34,2,FALSE)</f>
        <v>Sudeste</v>
      </c>
      <c r="E3838" s="90" t="s">
        <v>15164</v>
      </c>
      <c r="F3838" s="91">
        <v>47813</v>
      </c>
      <c r="G3838" s="92">
        <v>73841</v>
      </c>
      <c r="H3838" s="90" t="s">
        <v>11</v>
      </c>
      <c r="I383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8" s="90" t="s">
        <v>10880</v>
      </c>
    </row>
    <row r="3839" spans="1:11">
      <c r="A3839" s="90" t="s">
        <v>9631</v>
      </c>
      <c r="B3839" s="90" t="s">
        <v>9632</v>
      </c>
      <c r="C3839" s="90" t="s">
        <v>8</v>
      </c>
      <c r="D3839" s="90" t="str">
        <f>VLOOKUP(Tabela1[[#This Row],[Origem]],'Perguntas 1 a 24'!$J$28:$K$34,2,FALSE)</f>
        <v>Nordeste</v>
      </c>
      <c r="E3839" s="90" t="s">
        <v>15165</v>
      </c>
      <c r="F3839" s="91">
        <v>47813</v>
      </c>
      <c r="G3839" s="92">
        <v>100185</v>
      </c>
      <c r="H3839" s="90" t="s">
        <v>9</v>
      </c>
      <c r="I383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39" s="90" t="s">
        <v>6811</v>
      </c>
    </row>
    <row r="3840" spans="1:11">
      <c r="A3840" s="90" t="s">
        <v>10121</v>
      </c>
      <c r="B3840" s="90" t="s">
        <v>10122</v>
      </c>
      <c r="C3840" s="90" t="s">
        <v>8</v>
      </c>
      <c r="D3840" s="90" t="str">
        <f>VLOOKUP(Tabela1[[#This Row],[Origem]],'Perguntas 1 a 24'!$J$28:$K$34,2,FALSE)</f>
        <v>Nordeste</v>
      </c>
      <c r="E3840" s="90" t="s">
        <v>15166</v>
      </c>
      <c r="F3840" s="91">
        <v>47813</v>
      </c>
      <c r="G3840" s="92">
        <v>97850</v>
      </c>
      <c r="H3840" s="90" t="s">
        <v>7</v>
      </c>
      <c r="I384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40" s="90" t="s">
        <v>5577</v>
      </c>
    </row>
    <row r="3841" spans="1:11">
      <c r="A3841" s="90" t="s">
        <v>4199</v>
      </c>
      <c r="B3841" s="90" t="s">
        <v>4200</v>
      </c>
      <c r="C3841" s="90" t="s">
        <v>15</v>
      </c>
      <c r="D3841" s="90" t="str">
        <f>VLOOKUP(Tabela1[[#This Row],[Origem]],'Perguntas 1 a 24'!$J$28:$K$34,2,FALSE)</f>
        <v>Sudeste</v>
      </c>
      <c r="E3841" s="90" t="s">
        <v>15167</v>
      </c>
      <c r="F3841" s="91">
        <v>47814</v>
      </c>
      <c r="G3841" s="92">
        <v>74707</v>
      </c>
      <c r="H3841" s="90" t="s">
        <v>11</v>
      </c>
      <c r="I384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41" s="90" t="s">
        <v>8025</v>
      </c>
    </row>
    <row r="3842" spans="1:11">
      <c r="A3842" s="90" t="s">
        <v>8841</v>
      </c>
      <c r="B3842" s="90" t="s">
        <v>8842</v>
      </c>
      <c r="C3842" s="90" t="s">
        <v>10</v>
      </c>
      <c r="D3842" s="90" t="str">
        <f>VLOOKUP(Tabela1[[#This Row],[Origem]],'Perguntas 1 a 24'!$J$28:$K$34,2,FALSE)</f>
        <v>Centro-Oeste</v>
      </c>
      <c r="E3842" s="90" t="s">
        <v>15168</v>
      </c>
      <c r="F3842" s="91">
        <v>47814</v>
      </c>
      <c r="G3842" s="92">
        <v>39330</v>
      </c>
      <c r="H3842" s="90" t="s">
        <v>7</v>
      </c>
      <c r="I384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42" s="90" t="s">
        <v>4087</v>
      </c>
    </row>
    <row r="3843" spans="1:11">
      <c r="A3843" s="90" t="s">
        <v>5024</v>
      </c>
      <c r="B3843" s="90" t="s">
        <v>5025</v>
      </c>
      <c r="C3843" s="90" t="s">
        <v>12</v>
      </c>
      <c r="D3843" s="90" t="str">
        <f>VLOOKUP(Tabela1[[#This Row],[Origem]],'Perguntas 1 a 24'!$J$28:$K$34,2,FALSE)</f>
        <v>Sudeste</v>
      </c>
      <c r="E3843" s="90" t="s">
        <v>15169</v>
      </c>
      <c r="F3843" s="91">
        <v>47815</v>
      </c>
      <c r="G3843" s="92">
        <v>22548</v>
      </c>
      <c r="H3843" s="90" t="s">
        <v>11</v>
      </c>
      <c r="I384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  <c r="K3843" s="90" t="s">
        <v>6183</v>
      </c>
    </row>
    <row r="3844" spans="1:11">
      <c r="A3844" s="90" t="s">
        <v>10575</v>
      </c>
      <c r="B3844" s="90" t="s">
        <v>10576</v>
      </c>
      <c r="C3844" s="90" t="s">
        <v>13</v>
      </c>
      <c r="D3844" s="90" t="str">
        <f>VLOOKUP(Tabela1[[#This Row],[Origem]],'Perguntas 1 a 24'!$J$28:$K$34,2,FALSE)</f>
        <v>Sudeste</v>
      </c>
      <c r="E3844" s="90" t="s">
        <v>15170</v>
      </c>
      <c r="F3844" s="91">
        <v>47815</v>
      </c>
      <c r="G3844" s="92">
        <v>60286</v>
      </c>
      <c r="H3844" s="90" t="s">
        <v>14</v>
      </c>
      <c r="I384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45" spans="1:11">
      <c r="A3845" s="90" t="s">
        <v>7762</v>
      </c>
      <c r="B3845" s="90" t="s">
        <v>7763</v>
      </c>
      <c r="C3845" s="90" t="s">
        <v>10</v>
      </c>
      <c r="D3845" s="90" t="str">
        <f>VLOOKUP(Tabela1[[#This Row],[Origem]],'Perguntas 1 a 24'!$J$28:$K$34,2,FALSE)</f>
        <v>Centro-Oeste</v>
      </c>
      <c r="E3845" s="90" t="s">
        <v>15171</v>
      </c>
      <c r="F3845" s="91">
        <v>47817</v>
      </c>
      <c r="G3845" s="92">
        <v>29933</v>
      </c>
      <c r="H3845" s="90" t="s">
        <v>14</v>
      </c>
      <c r="I384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46" spans="1:11">
      <c r="A3846" s="90" t="s">
        <v>7952</v>
      </c>
      <c r="B3846" s="90" t="s">
        <v>7953</v>
      </c>
      <c r="C3846" s="90" t="s">
        <v>6</v>
      </c>
      <c r="D3846" s="90" t="str">
        <f>VLOOKUP(Tabela1[[#This Row],[Origem]],'Perguntas 1 a 24'!$J$28:$K$34,2,FALSE)</f>
        <v>Nordeste</v>
      </c>
      <c r="E3846" s="90" t="s">
        <v>15172</v>
      </c>
      <c r="F3846" s="91">
        <v>47817</v>
      </c>
      <c r="G3846" s="92">
        <v>71304</v>
      </c>
      <c r="H3846" s="90" t="s">
        <v>11</v>
      </c>
      <c r="I384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47" spans="1:11">
      <c r="A3847" s="90" t="s">
        <v>3876</v>
      </c>
      <c r="B3847" s="90" t="s">
        <v>3877</v>
      </c>
      <c r="C3847" s="90" t="s">
        <v>6</v>
      </c>
      <c r="D3847" s="90" t="str">
        <f>VLOOKUP(Tabela1[[#This Row],[Origem]],'Perguntas 1 a 24'!$J$28:$K$34,2,FALSE)</f>
        <v>Nordeste</v>
      </c>
      <c r="E3847" s="90" t="s">
        <v>15173</v>
      </c>
      <c r="F3847" s="91">
        <v>47818</v>
      </c>
      <c r="G3847" s="92">
        <v>60007</v>
      </c>
      <c r="H3847" s="90" t="s">
        <v>14</v>
      </c>
      <c r="I3847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48" spans="1:11">
      <c r="A3848" s="90" t="s">
        <v>4574</v>
      </c>
      <c r="B3848" s="90" t="s">
        <v>4575</v>
      </c>
      <c r="C3848" s="90" t="s">
        <v>16</v>
      </c>
      <c r="D3848" s="90" t="str">
        <f>VLOOKUP(Tabela1[[#This Row],[Origem]],'Perguntas 1 a 24'!$J$28:$K$34,2,FALSE)</f>
        <v>Sudeste</v>
      </c>
      <c r="E3848" s="90" t="s">
        <v>15174</v>
      </c>
      <c r="F3848" s="91">
        <v>47818</v>
      </c>
      <c r="G3848" s="92">
        <v>54354</v>
      </c>
      <c r="H3848" s="90" t="s">
        <v>14</v>
      </c>
      <c r="I3848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49" spans="1:11">
      <c r="A3849" s="90" t="s">
        <v>5370</v>
      </c>
      <c r="B3849" s="90" t="s">
        <v>5371</v>
      </c>
      <c r="C3849" s="90" t="s">
        <v>8</v>
      </c>
      <c r="D3849" s="90" t="str">
        <f>VLOOKUP(Tabela1[[#This Row],[Origem]],'Perguntas 1 a 24'!$J$28:$K$34,2,FALSE)</f>
        <v>Nordeste</v>
      </c>
      <c r="E3849" s="90" t="s">
        <v>15175</v>
      </c>
      <c r="F3849" s="91">
        <v>47819</v>
      </c>
      <c r="G3849" s="92">
        <v>47577</v>
      </c>
      <c r="H3849" s="90" t="s">
        <v>9</v>
      </c>
      <c r="I3849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50" spans="1:11">
      <c r="A3850" s="90" t="s">
        <v>9155</v>
      </c>
      <c r="B3850" s="90" t="s">
        <v>9156</v>
      </c>
      <c r="C3850" s="90" t="s">
        <v>10</v>
      </c>
      <c r="D3850" s="90" t="str">
        <f>VLOOKUP(Tabela1[[#This Row],[Origem]],'Perguntas 1 a 24'!$J$28:$K$34,2,FALSE)</f>
        <v>Centro-Oeste</v>
      </c>
      <c r="E3850" s="90" t="s">
        <v>15176</v>
      </c>
      <c r="F3850" s="91">
        <v>47819</v>
      </c>
      <c r="G3850" s="92">
        <v>85095</v>
      </c>
      <c r="H3850" s="90" t="s">
        <v>11</v>
      </c>
      <c r="I3850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51" spans="1:11">
      <c r="A3851" s="90" t="s">
        <v>10879</v>
      </c>
      <c r="B3851" s="90" t="s">
        <v>10880</v>
      </c>
      <c r="C3851" s="90" t="s">
        <v>16</v>
      </c>
      <c r="D3851" s="90" t="str">
        <f>VLOOKUP(Tabela1[[#This Row],[Origem]],'Perguntas 1 a 24'!$J$28:$K$34,2,FALSE)</f>
        <v>Sudeste</v>
      </c>
      <c r="E3851" s="90" t="s">
        <v>15177</v>
      </c>
      <c r="F3851" s="91">
        <v>47819</v>
      </c>
      <c r="G3851" s="92">
        <v>80868</v>
      </c>
      <c r="H3851" s="90" t="s">
        <v>11</v>
      </c>
      <c r="I3851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52" spans="1:11">
      <c r="A3852" s="90" t="s">
        <v>6810</v>
      </c>
      <c r="B3852" s="90" t="s">
        <v>6811</v>
      </c>
      <c r="C3852" s="90" t="s">
        <v>6</v>
      </c>
      <c r="D3852" s="90" t="str">
        <f>VLOOKUP(Tabela1[[#This Row],[Origem]],'Perguntas 1 a 24'!$J$28:$K$34,2,FALSE)</f>
        <v>Nordeste</v>
      </c>
      <c r="E3852" s="90" t="s">
        <v>15178</v>
      </c>
      <c r="F3852" s="91">
        <v>47820</v>
      </c>
      <c r="G3852" s="92">
        <v>106881</v>
      </c>
      <c r="H3852" s="90" t="s">
        <v>7</v>
      </c>
      <c r="I3852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53" spans="1:11">
      <c r="A3853" s="90" t="s">
        <v>5576</v>
      </c>
      <c r="B3853" s="90" t="s">
        <v>5577</v>
      </c>
      <c r="C3853" s="90" t="s">
        <v>16</v>
      </c>
      <c r="D3853" s="90" t="str">
        <f>VLOOKUP(Tabela1[[#This Row],[Origem]],'Perguntas 1 a 24'!$J$28:$K$34,2,FALSE)</f>
        <v>Sudeste</v>
      </c>
      <c r="E3853" s="90" t="s">
        <v>15179</v>
      </c>
      <c r="F3853" s="91">
        <v>47821</v>
      </c>
      <c r="G3853" s="92">
        <v>77032</v>
      </c>
      <c r="H3853" s="90" t="s">
        <v>14</v>
      </c>
      <c r="I3853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54" spans="1:11">
      <c r="A3854" s="90" t="s">
        <v>8024</v>
      </c>
      <c r="B3854" s="90" t="s">
        <v>8025</v>
      </c>
      <c r="C3854" s="90" t="s">
        <v>8</v>
      </c>
      <c r="D3854" s="90" t="str">
        <f>VLOOKUP(Tabela1[[#This Row],[Origem]],'Perguntas 1 a 24'!$J$28:$K$34,2,FALSE)</f>
        <v>Nordeste</v>
      </c>
      <c r="E3854" s="90" t="s">
        <v>15180</v>
      </c>
      <c r="F3854" s="91">
        <v>47821</v>
      </c>
      <c r="G3854" s="92">
        <v>39965</v>
      </c>
      <c r="H3854" s="90" t="s">
        <v>7</v>
      </c>
      <c r="I3854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55" spans="1:11">
      <c r="A3855" s="90" t="s">
        <v>4086</v>
      </c>
      <c r="B3855" s="90" t="s">
        <v>4087</v>
      </c>
      <c r="C3855" s="90" t="s">
        <v>15</v>
      </c>
      <c r="D3855" s="90" t="str">
        <f>VLOOKUP(Tabela1[[#This Row],[Origem]],'Perguntas 1 a 24'!$J$28:$K$34,2,FALSE)</f>
        <v>Sudeste</v>
      </c>
      <c r="E3855" s="90" t="s">
        <v>15181</v>
      </c>
      <c r="F3855" s="91">
        <v>47822</v>
      </c>
      <c r="G3855" s="92">
        <v>50344</v>
      </c>
      <c r="H3855" s="90" t="s">
        <v>9</v>
      </c>
      <c r="I3855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  <row r="3856" spans="1:11">
      <c r="A3856" s="90" t="s">
        <v>6182</v>
      </c>
      <c r="B3856" s="90" t="s">
        <v>6183</v>
      </c>
      <c r="C3856" s="90" t="s">
        <v>15</v>
      </c>
      <c r="D3856" s="90" t="str">
        <f>VLOOKUP(Tabela1[[#This Row],[Origem]],'Perguntas 1 a 24'!$J$28:$K$34,2,FALSE)</f>
        <v>Sudeste</v>
      </c>
      <c r="E3856" s="90" t="s">
        <v>15182</v>
      </c>
      <c r="F3856" s="91">
        <v>47822</v>
      </c>
      <c r="G3856" s="92">
        <v>29585</v>
      </c>
      <c r="H3856" s="90" t="s">
        <v>7</v>
      </c>
      <c r="I3856" s="90" t="str">
        <f>IF(AND(Tabela1[[#This Row],[Data de Validade]]&lt;=DATE(2025,12,31),Tabela1[[#This Row],[Custo de Produção]]&gt;50000),"Urgente e caro",                                                         IF(AND(Tabela1[[#This Row],[Data de Validade]]&lt;=DATE(2025,12,31),Tabela1[[#This Row],[Custo de Produção]]&lt;=50000),"Urgente",                                                                     IF(AND(Tabela1[[#This Row],[Data de Validade]]&lt;=DATE(2028,12,31),Tabela1[[#This Row],[Custo de Produção]]&gt;50000),"Pendente e caro",                                                       IF(AND(Tabela1[[#This Row],[Data de Validade]]&lt;=DATE(2028,12,31),Tabela1[[#This Row],[Custo de Produção]]&lt;=50000),"Pendente","Não prioritario"))))</f>
        <v>Não prioritario</v>
      </c>
    </row>
  </sheetData>
  <conditionalFormatting sqref="H1:H1048576">
    <cfRule type="cellIs" dxfId="27" priority="9" operator="equal">
      <formula>"Espanha"</formula>
    </cfRule>
    <cfRule type="cellIs" dxfId="26" priority="10" operator="equal">
      <formula>"Panamá"</formula>
    </cfRule>
    <cfRule type="cellIs" dxfId="25" priority="11" operator="equal">
      <formula>"Austrália"</formula>
    </cfRule>
    <cfRule type="cellIs" dxfId="24" priority="12" operator="equal">
      <formula>"Espanha"</formula>
    </cfRule>
    <cfRule type="cellIs" dxfId="23" priority="13" operator="equal">
      <formula>"Espanha"</formula>
    </cfRule>
    <cfRule type="cellIs" dxfId="22" priority="14" operator="equal">
      <formula>"Panamá"</formula>
    </cfRule>
    <cfRule type="cellIs" dxfId="21" priority="15" operator="equal">
      <formula>"Austrália"</formula>
    </cfRule>
    <cfRule type="cellIs" dxfId="20" priority="16" operator="equal">
      <formula>"Holanda"</formula>
    </cfRule>
    <cfRule type="cellIs" dxfId="19" priority="17" operator="equal">
      <formula>"Holanda"</formula>
    </cfRule>
    <cfRule type="cellIs" dxfId="18" priority="18" operator="equal">
      <formula>"Holanda"</formula>
    </cfRule>
  </conditionalFormatting>
  <conditionalFormatting sqref="A1:H3856">
    <cfRule type="expression" dxfId="17" priority="5">
      <formula>$H1="Espanha"</formula>
    </cfRule>
    <cfRule type="expression" dxfId="16" priority="6">
      <formula>$H1="Panamá"</formula>
    </cfRule>
    <cfRule type="expression" dxfId="15" priority="7">
      <formula>$H1="Austrália"</formula>
    </cfRule>
    <cfRule type="expression" dxfId="14" priority="8">
      <formula>$H1="Holanda"</formula>
    </cfRule>
  </conditionalFormatting>
  <conditionalFormatting sqref="K1:K3843">
    <cfRule type="expression" dxfId="13" priority="1">
      <formula>$H1="Espanha"</formula>
    </cfRule>
    <cfRule type="expression" dxfId="12" priority="2">
      <formula>$H1="Panamá"</formula>
    </cfRule>
    <cfRule type="expression" dxfId="11" priority="3">
      <formula>$H1="Austrália"</formula>
    </cfRule>
    <cfRule type="expression" dxfId="10" priority="4">
      <formula>$H1="Holanda"</formula>
    </cfRule>
  </conditionalFormatting>
  <dataValidations count="1">
    <dataValidation type="date" operator="greaterThanOrEqual" allowBlank="1" showInputMessage="1" showErrorMessage="1" errorTitle="ATENÇÃO" error="Só são permitidos produtos com data de validade a partir do ano de 2024." sqref="F2:F3856" xr:uid="{1798F646-2465-4BA4-AFAC-1795AEC26C20}">
      <formula1>45292</formula1>
    </dataValidation>
  </dataValidations>
  <pageMargins left="0.511811024" right="0.511811024" top="0.78740157499999996" bottom="0.78740157499999996" header="0.31496062000000002" footer="0.31496062000000002"/>
  <pageSetup paperSize="124" orientation="portrait" horizontalDpi="203" verticalDpi="20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47E76233-BBCD-4D0E-98A5-23E796694A27}">
            <x14:iconSet custom="1">
              <x14:cfvo type="percent">
                <xm:f>0</xm:f>
              </x14:cfvo>
              <x14:cfvo type="num">
                <xm:f>50000</xm:f>
              </x14:cfvo>
              <x14:cfvo type="num" gte="0">
                <xm:f>100000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G2:G3856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BD6C-5498-4089-9CF1-B7A2A2FCA887}">
  <sheetPr>
    <tabColor rgb="FF002060"/>
  </sheetPr>
  <dimension ref="B2:V82"/>
  <sheetViews>
    <sheetView showGridLines="0" topLeftCell="E52" zoomScaleNormal="100" workbookViewId="0">
      <selection activeCell="J84" sqref="J84"/>
    </sheetView>
  </sheetViews>
  <sheetFormatPr defaultRowHeight="14.25"/>
  <cols>
    <col min="1" max="1" width="0.5" customWidth="1"/>
    <col min="2" max="2" width="6.5" customWidth="1"/>
    <col min="3" max="3" width="15.625" customWidth="1"/>
    <col min="4" max="6" width="18.5" customWidth="1"/>
    <col min="7" max="7" width="11.125" customWidth="1"/>
    <col min="9" max="9" width="7.5" customWidth="1"/>
    <col min="10" max="10" width="19.125" customWidth="1"/>
    <col min="11" max="11" width="23.375" customWidth="1"/>
    <col min="12" max="12" width="19.125" customWidth="1"/>
    <col min="13" max="13" width="22" customWidth="1"/>
    <col min="14" max="14" width="19.125" customWidth="1"/>
  </cols>
  <sheetData>
    <row r="2" spans="3:14" ht="14.45" customHeight="1">
      <c r="C2" s="100" t="s">
        <v>40</v>
      </c>
      <c r="D2" s="100"/>
      <c r="E2" s="100"/>
      <c r="F2" s="100"/>
      <c r="G2" s="100"/>
      <c r="J2" s="100" t="s">
        <v>54</v>
      </c>
      <c r="K2" s="100"/>
      <c r="L2" s="100"/>
      <c r="M2" s="100"/>
      <c r="N2" s="100"/>
    </row>
    <row r="3" spans="3:14" ht="14.45" customHeight="1">
      <c r="C3" s="100"/>
      <c r="D3" s="100"/>
      <c r="E3" s="100"/>
      <c r="F3" s="100"/>
      <c r="G3" s="100"/>
      <c r="J3" s="100"/>
      <c r="K3" s="100"/>
      <c r="L3" s="100"/>
      <c r="M3" s="100"/>
      <c r="N3" s="100"/>
    </row>
    <row r="4" spans="3:14">
      <c r="J4" s="100"/>
      <c r="K4" s="100"/>
      <c r="L4" s="100"/>
      <c r="M4" s="100"/>
      <c r="N4" s="100"/>
    </row>
    <row r="5" spans="3:14">
      <c r="C5" s="100" t="s">
        <v>36</v>
      </c>
      <c r="D5" s="100"/>
      <c r="E5" s="100"/>
      <c r="F5" s="100"/>
      <c r="G5" s="100"/>
      <c r="J5" s="17"/>
      <c r="K5" s="17"/>
      <c r="L5" s="17"/>
      <c r="M5" s="17"/>
      <c r="N5" s="17"/>
    </row>
    <row r="6" spans="3:14" ht="14.45" customHeight="1">
      <c r="C6" s="100"/>
      <c r="D6" s="100"/>
      <c r="E6" s="100"/>
      <c r="F6" s="100"/>
      <c r="G6" s="100"/>
      <c r="J6" s="101" t="s">
        <v>28</v>
      </c>
      <c r="K6" s="101"/>
      <c r="L6" s="101"/>
      <c r="M6" s="101"/>
      <c r="N6" s="101"/>
    </row>
    <row r="7" spans="3:14">
      <c r="C7" s="100"/>
      <c r="D7" s="100"/>
      <c r="E7" s="100"/>
      <c r="F7" s="100"/>
      <c r="G7" s="100"/>
      <c r="J7" s="101"/>
      <c r="K7" s="101"/>
      <c r="L7" s="101"/>
      <c r="M7" s="101"/>
      <c r="N7" s="101"/>
    </row>
    <row r="8" spans="3:14" ht="15">
      <c r="C8" s="100"/>
      <c r="D8" s="100"/>
      <c r="E8" s="100"/>
      <c r="F8" s="100"/>
      <c r="G8" s="100"/>
      <c r="J8" s="4"/>
      <c r="K8" s="4"/>
      <c r="L8" s="4"/>
      <c r="M8" s="4"/>
      <c r="N8" s="4"/>
    </row>
    <row r="9" spans="3:14">
      <c r="C9" s="16"/>
      <c r="D9" s="16"/>
      <c r="E9" s="16"/>
      <c r="F9" s="16"/>
      <c r="G9" s="16"/>
      <c r="J9" s="102"/>
      <c r="K9" s="103"/>
      <c r="L9" s="103"/>
      <c r="M9" s="103"/>
      <c r="N9" s="104"/>
    </row>
    <row r="10" spans="3:14">
      <c r="C10" s="15"/>
      <c r="D10" s="14"/>
      <c r="E10" t="s">
        <v>37</v>
      </c>
    </row>
    <row r="11" spans="3:14">
      <c r="J11" s="100" t="s">
        <v>67</v>
      </c>
      <c r="K11" s="100"/>
      <c r="L11" s="100"/>
      <c r="M11" s="100"/>
      <c r="N11" s="100"/>
    </row>
    <row r="12" spans="3:14">
      <c r="C12" s="100" t="s">
        <v>38</v>
      </c>
      <c r="D12" s="100"/>
      <c r="E12" s="100"/>
      <c r="F12" s="100"/>
      <c r="G12" s="100"/>
      <c r="J12" s="100"/>
      <c r="K12" s="100"/>
      <c r="L12" s="100"/>
      <c r="M12" s="100"/>
      <c r="N12" s="100"/>
    </row>
    <row r="13" spans="3:14" ht="15">
      <c r="C13" s="100"/>
      <c r="D13" s="100"/>
      <c r="E13" s="100"/>
      <c r="F13" s="100"/>
      <c r="G13" s="100"/>
      <c r="J13" s="4"/>
      <c r="K13" s="4"/>
      <c r="L13" s="4"/>
      <c r="M13" s="4"/>
    </row>
    <row r="14" spans="3:14" ht="15">
      <c r="J14" s="7" t="s">
        <v>1</v>
      </c>
      <c r="K14" s="7" t="s">
        <v>3</v>
      </c>
      <c r="L14" s="7" t="s">
        <v>2</v>
      </c>
      <c r="M14" s="7" t="s">
        <v>0</v>
      </c>
      <c r="N14" s="4"/>
    </row>
    <row r="15" spans="3:14">
      <c r="C15" t="s">
        <v>39</v>
      </c>
      <c r="J15" s="8" t="s">
        <v>19</v>
      </c>
      <c r="K15" s="9" t="str">
        <f>IFERROR(VLOOKUP(J15,'Base de Dados'!B:F,4,FALSE),"Não Encotrado")</f>
        <v>Malari-H485H921/RJ</v>
      </c>
      <c r="L15" s="6" t="str">
        <f>IFERROR(VLOOKUP(J15,'Base de Dados'!B:C,2,0),"Não Encontrado")</f>
        <v>RJ</v>
      </c>
      <c r="M15" s="6" t="str">
        <f>IFERROR(INDEX('Base de Dados'!A:A,MATCH('Perguntas 1 a 24'!J15,'Base de Dados'!B:B,0)),"Não Encontrado")</f>
        <v>Malari</v>
      </c>
    </row>
    <row r="16" spans="3:14">
      <c r="J16" s="8" t="s">
        <v>22</v>
      </c>
      <c r="K16" s="9" t="str">
        <f>IFERROR(VLOOKUP(J16,'Base de Dados'!B:F,4,FALSE),"Não Encotrado")</f>
        <v>Tipafa-P469P428/RJ</v>
      </c>
      <c r="L16" s="6" t="str">
        <f>IFERROR(VLOOKUP(J16,'Base de Dados'!B:C,2,0),"Não Encontrado")</f>
        <v>RJ</v>
      </c>
      <c r="M16" s="6" t="str">
        <f>IFERROR(INDEX('Base de Dados'!A:A,MATCH('Perguntas 1 a 24'!J16,'Base de Dados'!B:B,0)),"Não Encontrado")</f>
        <v>Tipafa</v>
      </c>
    </row>
    <row r="17" spans="2:22">
      <c r="C17" s="100" t="s">
        <v>41</v>
      </c>
      <c r="D17" s="100"/>
      <c r="E17" s="100"/>
      <c r="F17" s="100"/>
      <c r="G17" s="100"/>
      <c r="J17" s="8" t="s">
        <v>65</v>
      </c>
      <c r="K17" s="9" t="str">
        <f>IFERROR(VLOOKUP(J17,'Base de Dados'!B:F,4,FALSE),"Não Encotrado")</f>
        <v>Não Encotrado</v>
      </c>
      <c r="L17" s="6" t="str">
        <f>IFERROR(VLOOKUP(J17,'Base de Dados'!B:C,2,0),"Não Encontrado")</f>
        <v>Não Encontrado</v>
      </c>
      <c r="M17" s="6" t="str">
        <f>IFERROR(INDEX('Base de Dados'!A:A,MATCH('Perguntas 1 a 24'!J17,'Base de Dados'!B:B,0)),"Não Encontrado")</f>
        <v>Não Encontrado</v>
      </c>
    </row>
    <row r="18" spans="2:22">
      <c r="C18" s="100"/>
      <c r="D18" s="100"/>
      <c r="E18" s="100"/>
      <c r="F18" s="100"/>
      <c r="G18" s="100"/>
      <c r="J18" s="8" t="s">
        <v>21</v>
      </c>
      <c r="K18" s="9" t="str">
        <f>IFERROR(VLOOKUP(J18,'Base de Dados'!B:F,4,FALSE),"Não Encotrado")</f>
        <v>Vetoci-P577H891/RJ</v>
      </c>
      <c r="L18" s="6" t="str">
        <f>IFERROR(VLOOKUP(J18,'Base de Dados'!B:C,2,0),"Não Encontrado")</f>
        <v>RJ</v>
      </c>
      <c r="M18" s="6" t="str">
        <f>IFERROR(INDEX('Base de Dados'!A:A,MATCH('Perguntas 1 a 24'!J18,'Base de Dados'!B:B,0)),"Não Encontrado")</f>
        <v>Vetoci</v>
      </c>
    </row>
    <row r="19" spans="2:22">
      <c r="C19" s="100"/>
      <c r="D19" s="100"/>
      <c r="E19" s="100"/>
      <c r="F19" s="100"/>
      <c r="G19" s="100"/>
      <c r="J19" s="8" t="s">
        <v>20</v>
      </c>
      <c r="K19" s="9" t="str">
        <f>IFERROR(VLOOKUP(J19,'Base de Dados'!B:F,4,FALSE),"Não Encotrado")</f>
        <v>Vidipu-H298P268/GO</v>
      </c>
      <c r="L19" s="6" t="str">
        <f>IFERROR(VLOOKUP(J19,'Base de Dados'!B:C,2,0),"Não Encontrado")</f>
        <v>GO</v>
      </c>
      <c r="M19" s="6" t="str">
        <f>IFERROR(INDEX('Base de Dados'!A:A,MATCH('Perguntas 1 a 24'!J19,'Base de Dados'!B:B,0)),"Não Encontrado")</f>
        <v>Vidipu</v>
      </c>
    </row>
    <row r="20" spans="2:22" ht="14.45" customHeight="1">
      <c r="J20" s="8" t="s">
        <v>66</v>
      </c>
      <c r="K20" s="9" t="str">
        <f>IFERROR(VLOOKUP(J20,'Base de Dados'!B:F,4,FALSE),"Não Encotrado")</f>
        <v>Não Encotrado</v>
      </c>
      <c r="L20" s="6" t="str">
        <f>IFERROR(VLOOKUP(J20,'Base de Dados'!B:C,2,0),"Não Encontrado")</f>
        <v>Não Encontrado</v>
      </c>
      <c r="M20" s="6" t="str">
        <f>IFERROR(INDEX('Base de Dados'!A:A,MATCH('Perguntas 1 a 24'!J20,'Base de Dados'!B:B,0)),"Não Encontrado")</f>
        <v>Não Encontrado</v>
      </c>
    </row>
    <row r="21" spans="2:22" ht="14.45" customHeight="1">
      <c r="C21" s="100" t="s">
        <v>53</v>
      </c>
      <c r="D21" s="100"/>
      <c r="E21" s="100"/>
      <c r="F21" s="100"/>
      <c r="G21" s="100"/>
      <c r="J21" s="8" t="s">
        <v>17</v>
      </c>
      <c r="K21" s="9" t="str">
        <f>IFERROR(VLOOKUP(J21,'Base de Dados'!B:F,4,FALSE),"Não Encotrado")</f>
        <v>Rurofelupa-H445H467/AL</v>
      </c>
      <c r="L21" s="6" t="str">
        <f>IFERROR(VLOOKUP(J21,'Base de Dados'!B:C,2,0),"Não Encontrado")</f>
        <v>AL</v>
      </c>
      <c r="M21" s="6" t="str">
        <f>IFERROR(INDEX('Base de Dados'!A:A,MATCH('Perguntas 1 a 24'!J21,'Base de Dados'!B:B,0)),"Não Encontrado")</f>
        <v>Rurofelupa</v>
      </c>
    </row>
    <row r="22" spans="2:22">
      <c r="C22" s="100"/>
      <c r="D22" s="100"/>
      <c r="E22" s="100"/>
      <c r="F22" s="100"/>
      <c r="G22" s="100"/>
      <c r="J22" s="8" t="s">
        <v>18</v>
      </c>
      <c r="K22" s="9" t="str">
        <f>IFERROR(VLOOKUP(J22,'Base de Dados'!B:F,4,FALSE),"Não Encotrado")</f>
        <v>Favidufere-H484H675/GO</v>
      </c>
      <c r="L22" s="6" t="str">
        <f>IFERROR(VLOOKUP(J22,'Base de Dados'!B:C,2,0),"Não Encontrado")</f>
        <v>GO</v>
      </c>
      <c r="M22" s="6" t="str">
        <f>IFERROR(INDEX('Base de Dados'!A:A,MATCH('Perguntas 1 a 24'!J22,'Base de Dados'!B:B,0)),"Não Encontrado")</f>
        <v>Favidufere</v>
      </c>
    </row>
    <row r="23" spans="2:22" ht="15">
      <c r="C23" s="100"/>
      <c r="D23" s="100"/>
      <c r="E23" s="100"/>
      <c r="F23" s="100"/>
      <c r="G23" s="100"/>
      <c r="J23" s="4"/>
      <c r="K23" s="4"/>
      <c r="L23" s="4"/>
      <c r="M23" s="4"/>
      <c r="N23" s="4"/>
    </row>
    <row r="24" spans="2:22">
      <c r="C24" s="20" t="s">
        <v>7</v>
      </c>
      <c r="D24" s="21" t="s">
        <v>9</v>
      </c>
      <c r="E24" s="22" t="s">
        <v>11</v>
      </c>
      <c r="F24" s="23" t="s">
        <v>14</v>
      </c>
      <c r="J24" s="101" t="s">
        <v>56</v>
      </c>
      <c r="K24" s="101"/>
      <c r="L24" s="101"/>
      <c r="M24" s="101"/>
      <c r="N24" s="101"/>
    </row>
    <row r="25" spans="2:22">
      <c r="J25" s="101"/>
      <c r="K25" s="101"/>
      <c r="L25" s="101"/>
      <c r="M25" s="101"/>
      <c r="N25" s="101"/>
    </row>
    <row r="26" spans="2:22" ht="14.45" customHeight="1">
      <c r="C26" s="100" t="s">
        <v>3661</v>
      </c>
      <c r="D26" s="100"/>
      <c r="E26" s="100"/>
      <c r="F26" s="100"/>
      <c r="G26" s="100"/>
      <c r="J26" s="4"/>
      <c r="K26" s="4"/>
      <c r="L26" s="4"/>
      <c r="M26" s="4"/>
      <c r="N26" s="4"/>
    </row>
    <row r="27" spans="2:22">
      <c r="C27" s="100"/>
      <c r="D27" s="100"/>
      <c r="E27" s="100"/>
      <c r="F27" s="100"/>
      <c r="G27" s="100"/>
      <c r="J27" s="8" t="s">
        <v>23</v>
      </c>
      <c r="K27" s="8" t="s">
        <v>24</v>
      </c>
    </row>
    <row r="28" spans="2:22" ht="14.45" customHeight="1">
      <c r="C28" s="100"/>
      <c r="D28" s="100"/>
      <c r="E28" s="100"/>
      <c r="F28" s="100"/>
      <c r="G28" s="100"/>
      <c r="J28" s="5" t="s">
        <v>8</v>
      </c>
      <c r="K28" s="5" t="s">
        <v>25</v>
      </c>
    </row>
    <row r="29" spans="2:22">
      <c r="C29" s="16"/>
      <c r="D29" s="16"/>
      <c r="E29" s="16"/>
      <c r="F29" s="16"/>
      <c r="G29" s="16"/>
      <c r="J29" s="5" t="s">
        <v>15</v>
      </c>
      <c r="K29" s="5" t="s">
        <v>26</v>
      </c>
    </row>
    <row r="30" spans="2:22" ht="14.45" customHeight="1">
      <c r="B30" s="3"/>
      <c r="C30" s="100" t="s">
        <v>49</v>
      </c>
      <c r="D30" s="100"/>
      <c r="E30" s="100"/>
      <c r="F30" s="100"/>
      <c r="G30" s="100"/>
      <c r="H30" s="4"/>
      <c r="J30" s="5" t="s">
        <v>10</v>
      </c>
      <c r="K30" s="5" t="s">
        <v>27</v>
      </c>
      <c r="P30" s="4"/>
      <c r="Q30" s="4"/>
      <c r="R30" s="4"/>
      <c r="S30" s="4"/>
      <c r="T30" s="4"/>
      <c r="U30" s="4"/>
      <c r="V30" s="4"/>
    </row>
    <row r="31" spans="2:22" ht="15">
      <c r="B31" s="105"/>
      <c r="C31" s="100"/>
      <c r="D31" s="100"/>
      <c r="E31" s="100"/>
      <c r="F31" s="100"/>
      <c r="G31" s="100"/>
      <c r="H31" s="3"/>
      <c r="J31" s="5" t="s">
        <v>6</v>
      </c>
      <c r="K31" s="5" t="s">
        <v>25</v>
      </c>
      <c r="P31" s="3"/>
      <c r="Q31" s="3"/>
      <c r="R31" s="3"/>
      <c r="S31" s="3"/>
      <c r="T31" s="3"/>
      <c r="U31" s="3"/>
      <c r="V31" s="3"/>
    </row>
    <row r="32" spans="2:22" ht="15">
      <c r="B32" s="105"/>
      <c r="C32" s="16"/>
      <c r="D32" s="16"/>
      <c r="E32" s="16"/>
      <c r="F32" s="16"/>
      <c r="G32" s="16"/>
      <c r="H32" s="4"/>
      <c r="J32" s="5" t="s">
        <v>16</v>
      </c>
      <c r="K32" s="5" t="s">
        <v>26</v>
      </c>
      <c r="P32" s="3"/>
      <c r="Q32" s="3"/>
      <c r="R32" s="3"/>
      <c r="S32" s="3"/>
      <c r="T32" s="3"/>
      <c r="U32" s="3"/>
      <c r="V32" s="3"/>
    </row>
    <row r="33" spans="2:22" ht="15">
      <c r="B33" s="3"/>
      <c r="C33" s="100" t="s">
        <v>42</v>
      </c>
      <c r="D33" s="100"/>
      <c r="E33" s="100"/>
      <c r="F33" s="100"/>
      <c r="G33" s="100"/>
      <c r="H33" s="4"/>
      <c r="J33" s="5" t="s">
        <v>12</v>
      </c>
      <c r="K33" s="5" t="s">
        <v>26</v>
      </c>
      <c r="P33" s="4"/>
      <c r="Q33" s="4"/>
      <c r="R33" s="4"/>
      <c r="S33" s="4"/>
      <c r="T33" s="4"/>
      <c r="U33" s="4"/>
      <c r="V33" s="4"/>
    </row>
    <row r="34" spans="2:22" ht="15">
      <c r="C34" s="100"/>
      <c r="D34" s="100"/>
      <c r="E34" s="100"/>
      <c r="F34" s="100"/>
      <c r="G34" s="100"/>
      <c r="H34" s="4"/>
      <c r="J34" s="5" t="s">
        <v>13</v>
      </c>
      <c r="K34" s="5" t="s">
        <v>26</v>
      </c>
      <c r="O34" s="4"/>
    </row>
    <row r="35" spans="2:22" ht="15">
      <c r="C35" s="100"/>
      <c r="D35" s="100"/>
      <c r="E35" s="100"/>
      <c r="F35" s="100"/>
      <c r="G35" s="100"/>
      <c r="I35" s="4"/>
      <c r="J35" s="4"/>
      <c r="K35" s="4"/>
      <c r="L35" s="4"/>
      <c r="M35" s="4"/>
      <c r="N35" s="4"/>
      <c r="O35" s="3"/>
    </row>
    <row r="36" spans="2:22" ht="15">
      <c r="B36" s="3"/>
      <c r="H36" s="3"/>
      <c r="I36" s="4"/>
      <c r="J36" s="101" t="s">
        <v>29</v>
      </c>
      <c r="K36" s="101"/>
      <c r="L36" s="101"/>
      <c r="M36" s="101"/>
      <c r="N36" s="101"/>
      <c r="O36" s="4"/>
      <c r="P36" s="3"/>
      <c r="Q36" s="3"/>
      <c r="R36" s="3"/>
      <c r="S36" s="3"/>
      <c r="T36" s="3"/>
      <c r="U36" s="3"/>
      <c r="V36" s="3"/>
    </row>
    <row r="37" spans="2:22" ht="15">
      <c r="B37" s="3"/>
      <c r="C37" s="24" t="s">
        <v>43</v>
      </c>
      <c r="D37" s="24" t="s">
        <v>44</v>
      </c>
      <c r="E37" s="24" t="s">
        <v>45</v>
      </c>
      <c r="F37" s="24" t="s">
        <v>46</v>
      </c>
      <c r="G37" s="24" t="s">
        <v>47</v>
      </c>
      <c r="H37" s="4"/>
      <c r="J37" s="101"/>
      <c r="K37" s="101"/>
      <c r="L37" s="101"/>
      <c r="M37" s="101"/>
      <c r="N37" s="101"/>
      <c r="O37" s="4"/>
      <c r="P37" s="4"/>
      <c r="Q37" s="4"/>
      <c r="R37" s="4"/>
      <c r="S37" s="4"/>
      <c r="T37" s="4"/>
      <c r="U37" s="4"/>
      <c r="V37" s="4"/>
    </row>
    <row r="38" spans="2:22" ht="15">
      <c r="B38" s="3"/>
      <c r="C38" s="25">
        <f>SUM(Tabela1[Custo de Produção])</f>
        <v>272181871</v>
      </c>
      <c r="D38" s="25">
        <f>MEDIAN(Tabela1[Custo de Produção])</f>
        <v>71055</v>
      </c>
      <c r="E38" s="24">
        <f>COUNT(Tabela1[Custo de Produção])</f>
        <v>3855</v>
      </c>
      <c r="F38" s="25">
        <f>MAX(Tabela1[Custo de Produção])</f>
        <v>119945</v>
      </c>
      <c r="G38" s="25">
        <f>MIN(Tabela1[Custo de Produção])</f>
        <v>20044</v>
      </c>
      <c r="H38" s="4"/>
      <c r="I38" s="3"/>
      <c r="K38" s="5" t="s">
        <v>9</v>
      </c>
      <c r="L38" s="5" t="s">
        <v>14</v>
      </c>
      <c r="M38" s="5" t="s">
        <v>7</v>
      </c>
      <c r="N38" s="5" t="s">
        <v>11</v>
      </c>
      <c r="P38" s="4"/>
      <c r="Q38" s="5" t="s">
        <v>9</v>
      </c>
      <c r="R38" s="5" t="s">
        <v>14</v>
      </c>
      <c r="S38" s="5" t="s">
        <v>7</v>
      </c>
      <c r="T38" s="5" t="s">
        <v>11</v>
      </c>
      <c r="U38" s="4"/>
      <c r="V38" s="4"/>
    </row>
    <row r="39" spans="2:22" ht="15">
      <c r="I39" s="4"/>
      <c r="J39" s="5" t="s">
        <v>25</v>
      </c>
      <c r="K39" s="97">
        <f>SUMIFS('Base de Dados'!$G:$G,'Base de Dados'!$D:$D,'Perguntas 1 a 24'!$J39,'Base de Dados'!$H:$H,'Perguntas 1 a 24'!K$38)</f>
        <v>21582443</v>
      </c>
      <c r="L39" s="97">
        <f>SUMIFS('Base de Dados'!$G:$G,'Base de Dados'!$D:$D,'Perguntas 1 a 24'!$J39,'Base de Dados'!$H:$H,'Perguntas 1 a 24'!L$38)</f>
        <v>18432363</v>
      </c>
      <c r="M39" s="97">
        <f>SUMIFS('Base de Dados'!$G:$G,'Base de Dados'!$D:$D,'Perguntas 1 a 24'!$J39,'Base de Dados'!$H:$H,'Perguntas 1 a 24'!M$38)</f>
        <v>19384102</v>
      </c>
      <c r="N39" s="97">
        <f>SUMIFS('Base de Dados'!$G:$G,'Base de Dados'!$D:$D,'Perguntas 1 a 24'!$J39,'Base de Dados'!$H:$H,'Perguntas 1 a 24'!N$38)</f>
        <v>19329788</v>
      </c>
      <c r="Q39">
        <f>COUNTIFS('Base de Dados'!$H:$H,'Perguntas 1 a 24'!Q38)</f>
        <v>1007</v>
      </c>
      <c r="R39">
        <f>COUNTIFS('Base de Dados'!$H:$H,'Perguntas 1 a 24'!R38)</f>
        <v>930</v>
      </c>
      <c r="S39">
        <f>COUNTIFS('Base de Dados'!$H:$H,'Perguntas 1 a 24'!S38)</f>
        <v>958</v>
      </c>
      <c r="T39">
        <f>COUNTIFS('Base de Dados'!$H:$H,'Perguntas 1 a 24'!T38)</f>
        <v>960</v>
      </c>
    </row>
    <row r="40" spans="2:22" ht="15">
      <c r="C40" s="100" t="s">
        <v>48</v>
      </c>
      <c r="D40" s="100"/>
      <c r="E40" s="100"/>
      <c r="F40" s="100"/>
      <c r="G40" s="100"/>
      <c r="I40" s="4"/>
      <c r="J40" s="5" t="s">
        <v>26</v>
      </c>
      <c r="K40" s="97">
        <f>SUMIFS('Base de Dados'!$G:$G,'Base de Dados'!$D:$D,'Perguntas 1 a 24'!$J40,'Base de Dados'!$H:$H,'Perguntas 1 a 24'!K$38)</f>
        <v>37494439</v>
      </c>
      <c r="L40" s="97">
        <f>SUMIFS('Base de Dados'!$G:$G,'Base de Dados'!$D:$D,'Perguntas 1 a 24'!$J40,'Base de Dados'!$H:$H,'Perguntas 1 a 24'!L$38)</f>
        <v>38989407</v>
      </c>
      <c r="M40" s="97">
        <f>SUMIFS('Base de Dados'!$G:$G,'Base de Dados'!$D:$D,'Perguntas 1 a 24'!$J40,'Base de Dados'!$H:$H,'Perguntas 1 a 24'!M$38)</f>
        <v>38539749</v>
      </c>
      <c r="N40" s="97">
        <f>SUMIFS('Base de Dados'!$G:$G,'Base de Dados'!$D:$D,'Perguntas 1 a 24'!$J40,'Base de Dados'!$H:$H,'Perguntas 1 a 24'!N$38)</f>
        <v>37891952</v>
      </c>
      <c r="O40" s="3"/>
    </row>
    <row r="41" spans="2:22" ht="15">
      <c r="C41" s="100"/>
      <c r="D41" s="100"/>
      <c r="E41" s="100"/>
      <c r="F41" s="100"/>
      <c r="G41" s="100"/>
      <c r="J41" s="5" t="s">
        <v>27</v>
      </c>
      <c r="K41" s="97">
        <f>SUMIFS('Base de Dados'!$G:$G,'Base de Dados'!$D:$D,'Perguntas 1 a 24'!$J41,'Base de Dados'!$H:$H,'Perguntas 1 a 24'!K$38)</f>
        <v>12025755</v>
      </c>
      <c r="L41" s="97">
        <f>SUMIFS('Base de Dados'!$G:$G,'Base de Dados'!$D:$D,'Perguntas 1 a 24'!$J41,'Base de Dados'!$H:$H,'Perguntas 1 a 24'!L$38)</f>
        <v>9401319</v>
      </c>
      <c r="M41" s="97">
        <f>SUMIFS('Base de Dados'!$G:$G,'Base de Dados'!$D:$D,'Perguntas 1 a 24'!$J41,'Base de Dados'!$H:$H,'Perguntas 1 a 24'!M$38)</f>
        <v>9133421</v>
      </c>
      <c r="N41" s="97">
        <f>SUMIFS('Base de Dados'!$G:$G,'Base de Dados'!$D:$D,'Perguntas 1 a 24'!$J41,'Base de Dados'!$H:$H,'Perguntas 1 a 24'!N$38)</f>
        <v>9977133</v>
      </c>
      <c r="O41" s="4"/>
    </row>
    <row r="42" spans="2:22" ht="15">
      <c r="C42" s="100"/>
      <c r="D42" s="100"/>
      <c r="E42" s="100"/>
      <c r="F42" s="100"/>
      <c r="G42" s="100"/>
      <c r="J42" s="5" t="s">
        <v>30</v>
      </c>
      <c r="K42" s="97">
        <f>SUMIFS('Base de Dados'!$G:$G,'Base de Dados'!$D:$D,'Perguntas 1 a 24'!$J42,'Base de Dados'!$H:$H,'Perguntas 1 a 24'!K$38)</f>
        <v>0</v>
      </c>
      <c r="L42" s="97">
        <f>SUMIFS('Base de Dados'!$G:$G,'Base de Dados'!$D:$D,'Perguntas 1 a 24'!$J42,'Base de Dados'!$H:$H,'Perguntas 1 a 24'!L$38)</f>
        <v>0</v>
      </c>
      <c r="M42" s="97">
        <f>SUMIFS('Base de Dados'!$G:$G,'Base de Dados'!$D:$D,'Perguntas 1 a 24'!$J42,'Base de Dados'!$H:$H,'Perguntas 1 a 24'!M$38)</f>
        <v>0</v>
      </c>
      <c r="N42" s="97">
        <f>SUMIFS('Base de Dados'!$G:$G,'Base de Dados'!$D:$D,'Perguntas 1 a 24'!$J42,'Base de Dados'!$H:$H,'Perguntas 1 a 24'!N$38)</f>
        <v>0</v>
      </c>
      <c r="O42" s="4"/>
    </row>
    <row r="43" spans="2:22">
      <c r="K43" s="95">
        <f>SUM(K39:K42)</f>
        <v>71102637</v>
      </c>
      <c r="L43" s="95">
        <f t="shared" ref="L43:N43" si="0">SUM(L39:L42)</f>
        <v>66823089</v>
      </c>
      <c r="M43" s="95">
        <f t="shared" si="0"/>
        <v>67057272</v>
      </c>
      <c r="N43" s="95">
        <f t="shared" si="0"/>
        <v>67198873</v>
      </c>
    </row>
    <row r="44" spans="2:22">
      <c r="C44" s="26" t="s">
        <v>43</v>
      </c>
      <c r="D44" s="24" t="s">
        <v>44</v>
      </c>
      <c r="E44" s="24" t="s">
        <v>45</v>
      </c>
      <c r="F44" s="24" t="s">
        <v>46</v>
      </c>
      <c r="G44" s="24" t="s">
        <v>47</v>
      </c>
      <c r="J44" t="s">
        <v>31</v>
      </c>
    </row>
    <row r="45" spans="2:22">
      <c r="C45" s="25">
        <f>SUBTOTAL(9,Tabela1[Custo de Produção])</f>
        <v>272181871</v>
      </c>
      <c r="D45" s="25">
        <f>SUBTOTAL(1,'Base de Dados'!G:G)</f>
        <v>70604.895201037609</v>
      </c>
      <c r="E45" s="24">
        <f>SUBTOTAL(3,'Base de Dados'!G:G)</f>
        <v>3856</v>
      </c>
      <c r="F45" s="25">
        <f>SUBTOTAL(4,'Base de Dados'!G:G)</f>
        <v>119945</v>
      </c>
      <c r="G45" s="25">
        <f>SUBTOTAL(5,'Base de Dados'!G:G)</f>
        <v>20044</v>
      </c>
    </row>
    <row r="46" spans="2:22" ht="15">
      <c r="C46" s="19"/>
      <c r="J46" s="6" t="s">
        <v>32</v>
      </c>
      <c r="K46" s="6" t="s">
        <v>15183</v>
      </c>
      <c r="L46" s="4"/>
      <c r="M46" s="4"/>
      <c r="N46" s="4"/>
    </row>
    <row r="47" spans="2:22" ht="14.45" customHeight="1">
      <c r="B47" s="3"/>
      <c r="C47" s="100" t="s">
        <v>50</v>
      </c>
      <c r="D47" s="100"/>
      <c r="E47" s="100"/>
      <c r="F47" s="100"/>
      <c r="G47" s="100"/>
      <c r="H47" s="4"/>
      <c r="I47" s="4"/>
      <c r="J47" s="6" t="s">
        <v>33</v>
      </c>
      <c r="K47" s="6" t="s">
        <v>15184</v>
      </c>
      <c r="L47" s="3"/>
      <c r="M47" s="3"/>
      <c r="N47" s="3"/>
      <c r="P47" s="4"/>
      <c r="Q47" s="4"/>
      <c r="R47" s="4"/>
      <c r="S47" s="4"/>
      <c r="T47" s="4"/>
      <c r="U47" s="4"/>
      <c r="V47" s="4"/>
    </row>
    <row r="48" spans="2:22" ht="15">
      <c r="B48" s="3"/>
      <c r="C48" s="100"/>
      <c r="D48" s="100"/>
      <c r="E48" s="100"/>
      <c r="F48" s="100"/>
      <c r="G48" s="100"/>
      <c r="H48" s="3"/>
      <c r="I48" s="3"/>
      <c r="J48" s="4"/>
      <c r="K48" s="4"/>
      <c r="L48" s="4"/>
      <c r="M48" s="4"/>
      <c r="N48" s="4"/>
      <c r="P48" s="3"/>
      <c r="Q48" s="3"/>
      <c r="R48" s="3"/>
      <c r="S48" s="3"/>
      <c r="T48" s="3"/>
      <c r="U48" s="3"/>
      <c r="V48" s="3"/>
    </row>
    <row r="49" spans="2:22" ht="15">
      <c r="B49" s="3"/>
      <c r="H49" s="4"/>
      <c r="I49" s="4"/>
      <c r="J49" s="101" t="s">
        <v>34</v>
      </c>
      <c r="K49" s="101"/>
      <c r="L49" s="101"/>
      <c r="M49" s="101"/>
      <c r="N49" s="101"/>
      <c r="P49" s="3"/>
      <c r="Q49" s="3"/>
      <c r="R49" s="3"/>
      <c r="S49" s="3"/>
      <c r="T49" s="3"/>
      <c r="U49" s="3"/>
      <c r="V49" s="3"/>
    </row>
    <row r="50" spans="2:22" ht="15">
      <c r="B50" s="3"/>
      <c r="C50" s="26" t="s">
        <v>43</v>
      </c>
      <c r="D50" s="24" t="s">
        <v>44</v>
      </c>
      <c r="E50" s="24" t="s">
        <v>45</v>
      </c>
      <c r="F50" s="24" t="s">
        <v>46</v>
      </c>
      <c r="G50" s="24" t="s">
        <v>47</v>
      </c>
      <c r="H50" s="4"/>
      <c r="J50" s="101"/>
      <c r="K50" s="101"/>
      <c r="L50" s="101"/>
      <c r="M50" s="101"/>
      <c r="N50" s="101"/>
      <c r="P50" s="4"/>
      <c r="Q50" s="4"/>
      <c r="R50" s="4"/>
      <c r="S50" s="4"/>
      <c r="T50" s="4"/>
      <c r="U50" s="4"/>
      <c r="V50" s="4"/>
    </row>
    <row r="51" spans="2:22" ht="15">
      <c r="C51" s="25">
        <v>35615146</v>
      </c>
      <c r="D51" s="25">
        <v>69696.95890410959</v>
      </c>
      <c r="E51" s="24">
        <v>512</v>
      </c>
      <c r="F51" s="25">
        <v>119698</v>
      </c>
      <c r="G51" s="25">
        <v>20044</v>
      </c>
      <c r="O51" s="4"/>
    </row>
    <row r="52" spans="2:22" ht="15">
      <c r="J52" s="10" t="s">
        <v>35</v>
      </c>
      <c r="K52" s="11" t="s">
        <v>0</v>
      </c>
      <c r="L52" s="11" t="s">
        <v>1</v>
      </c>
      <c r="M52" s="11" t="s">
        <v>4</v>
      </c>
      <c r="N52" s="11" t="s">
        <v>5</v>
      </c>
      <c r="O52" s="3"/>
    </row>
    <row r="53" spans="2:22" ht="15">
      <c r="C53" s="100" t="s">
        <v>51</v>
      </c>
      <c r="D53" s="100"/>
      <c r="E53" s="100"/>
      <c r="F53" s="100"/>
      <c r="G53" s="100"/>
      <c r="J53" s="12">
        <v>1</v>
      </c>
      <c r="K53" s="13" t="str">
        <f>INDEX('Base de Dados'!A:A,MATCH('Perguntas 1 a 24'!M53,'Base de Dados'!G:G,0))</f>
        <v>Vutufe</v>
      </c>
      <c r="L53" s="13" t="str">
        <f>INDEX('Base de Dados'!B:B,MATCH('Perguntas 1 a 24'!M53,'Base de Dados'!G:G,0))</f>
        <v>P873H963</v>
      </c>
      <c r="M53" s="96">
        <f>LARGE('Base de Dados'!G:G,'Perguntas 1 a 24'!J53)</f>
        <v>119945</v>
      </c>
      <c r="N53" s="13" t="str">
        <f>VLOOKUP(M53,'Base de Dados'!G:H,2,FALSE)</f>
        <v>Panamá</v>
      </c>
      <c r="O53" s="4"/>
    </row>
    <row r="54" spans="2:22" ht="15">
      <c r="C54" s="100"/>
      <c r="D54" s="100"/>
      <c r="E54" s="100"/>
      <c r="F54" s="100"/>
      <c r="G54" s="100"/>
      <c r="J54" s="12">
        <v>2</v>
      </c>
      <c r="K54" s="13" t="str">
        <f>INDEX('Base de Dados'!A:A,MATCH('Perguntas 1 a 24'!M54,'Base de Dados'!G:G,0))</f>
        <v>Licapiro</v>
      </c>
      <c r="L54" s="13" t="str">
        <f>INDEX('Base de Dados'!B:B,MATCH('Perguntas 1 a 24'!M54,'Base de Dados'!G:G,0))</f>
        <v>H948H323</v>
      </c>
      <c r="M54" s="96">
        <f>LARGE('Base de Dados'!G:G,'Perguntas 1 a 24'!J54)</f>
        <v>119933</v>
      </c>
      <c r="N54" s="13" t="str">
        <f>VLOOKUP(M54,'Base de Dados'!G:H,2,FALSE)</f>
        <v>Austrália</v>
      </c>
      <c r="O54" s="4"/>
    </row>
    <row r="55" spans="2:22">
      <c r="J55" s="12">
        <v>3</v>
      </c>
      <c r="K55" s="13" t="str">
        <f>INDEX('Base de Dados'!A:A,MATCH('Perguntas 1 a 24'!M55,'Base de Dados'!G:G,0))</f>
        <v>Gopenemo</v>
      </c>
      <c r="L55" s="13" t="str">
        <f>INDEX('Base de Dados'!B:B,MATCH('Perguntas 1 a 24'!M55,'Base de Dados'!G:G,0))</f>
        <v>H155P441</v>
      </c>
      <c r="M55" s="96">
        <f>LARGE('Base de Dados'!G:G,'Perguntas 1 a 24'!J55)</f>
        <v>119903</v>
      </c>
      <c r="N55" s="13" t="str">
        <f>VLOOKUP(M55,'Base de Dados'!G:H,2,FALSE)</f>
        <v>Austrália</v>
      </c>
    </row>
    <row r="56" spans="2:22">
      <c r="C56" s="26" t="s">
        <v>43</v>
      </c>
      <c r="D56" s="24" t="s">
        <v>44</v>
      </c>
      <c r="E56" s="24" t="s">
        <v>45</v>
      </c>
      <c r="F56" s="24" t="s">
        <v>46</v>
      </c>
      <c r="G56" s="24" t="s">
        <v>47</v>
      </c>
      <c r="J56" s="12">
        <v>4</v>
      </c>
      <c r="K56" s="13" t="str">
        <f>INDEX('Base de Dados'!A:A,MATCH('Perguntas 1 a 24'!M56,'Base de Dados'!G:G,0))</f>
        <v>Petitode</v>
      </c>
      <c r="L56" s="13" t="str">
        <f>INDEX('Base de Dados'!B:B,MATCH('Perguntas 1 a 24'!M56,'Base de Dados'!G:G,0))</f>
        <v>H119P473</v>
      </c>
      <c r="M56" s="96">
        <f>LARGE('Base de Dados'!G:G,'Perguntas 1 a 24'!J56)</f>
        <v>119901</v>
      </c>
      <c r="N56" s="13" t="str">
        <f>VLOOKUP(M56,'Base de Dados'!G:H,2,FALSE)</f>
        <v>Austrália</v>
      </c>
    </row>
    <row r="57" spans="2:22" ht="14.45" customHeight="1">
      <c r="C57" s="25">
        <v>187317121</v>
      </c>
      <c r="D57" s="25">
        <v>94796.113866396758</v>
      </c>
      <c r="E57" s="24">
        <v>1977</v>
      </c>
      <c r="F57" s="25">
        <v>119945</v>
      </c>
      <c r="G57" s="25">
        <v>70004</v>
      </c>
      <c r="J57" s="12">
        <v>5</v>
      </c>
      <c r="K57" s="13" t="str">
        <f>INDEX('Base de Dados'!A:A,MATCH('Perguntas 1 a 24'!M57,'Base de Dados'!G:G,0))</f>
        <v>Vigopurutu</v>
      </c>
      <c r="L57" s="13" t="str">
        <f>INDEX('Base de Dados'!B:B,MATCH('Perguntas 1 a 24'!M57,'Base de Dados'!G:G,0))</f>
        <v>H776P365</v>
      </c>
      <c r="M57" s="96">
        <f>LARGE('Base de Dados'!G:G,'Perguntas 1 a 24'!J57)</f>
        <v>119889</v>
      </c>
      <c r="N57" s="13" t="str">
        <f>VLOOKUP(M57,'Base de Dados'!G:H,2,FALSE)</f>
        <v>Panamá</v>
      </c>
    </row>
    <row r="59" spans="2:22" ht="14.45" customHeight="1">
      <c r="C59" s="100" t="s">
        <v>52</v>
      </c>
      <c r="D59" s="100"/>
      <c r="E59" s="100"/>
      <c r="F59" s="100"/>
      <c r="G59" s="100"/>
      <c r="J59" s="100" t="s">
        <v>73</v>
      </c>
      <c r="K59" s="100"/>
      <c r="L59" s="100"/>
      <c r="M59" s="100"/>
      <c r="N59" s="100"/>
      <c r="P59" s="18"/>
      <c r="Q59" s="18"/>
      <c r="R59" s="18"/>
    </row>
    <row r="60" spans="2:22">
      <c r="C60" s="100"/>
      <c r="D60" s="100"/>
      <c r="E60" s="100"/>
      <c r="F60" s="100"/>
      <c r="G60" s="100"/>
      <c r="J60" s="100"/>
      <c r="K60" s="100"/>
      <c r="L60" s="100"/>
      <c r="M60" s="100"/>
      <c r="N60" s="100"/>
    </row>
    <row r="61" spans="2:22">
      <c r="J61" s="100"/>
      <c r="K61" s="100"/>
      <c r="L61" s="100"/>
      <c r="M61" s="100"/>
      <c r="N61" s="100"/>
    </row>
    <row r="62" spans="2:22">
      <c r="C62" s="26" t="s">
        <v>43</v>
      </c>
      <c r="D62" s="24" t="s">
        <v>44</v>
      </c>
      <c r="E62" s="24" t="s">
        <v>45</v>
      </c>
      <c r="F62" s="24" t="s">
        <v>46</v>
      </c>
      <c r="G62" s="24" t="s">
        <v>47</v>
      </c>
      <c r="J62" s="100"/>
      <c r="K62" s="100"/>
      <c r="L62" s="100"/>
      <c r="M62" s="100"/>
      <c r="N62" s="100"/>
    </row>
    <row r="63" spans="2:22" ht="14.45" customHeight="1">
      <c r="C63" s="25">
        <v>126160763</v>
      </c>
      <c r="D63" s="25">
        <v>71156.662718556123</v>
      </c>
      <c r="E63" s="24">
        <v>1774</v>
      </c>
      <c r="F63" s="25">
        <v>119903</v>
      </c>
      <c r="G63" s="25">
        <v>20081</v>
      </c>
      <c r="J63" s="100"/>
      <c r="K63" s="100"/>
      <c r="L63" s="100"/>
      <c r="M63" s="100"/>
      <c r="N63" s="100"/>
      <c r="O63" s="18"/>
    </row>
    <row r="65" spans="3:14" ht="14.45" customHeight="1">
      <c r="C65" s="100" t="s">
        <v>3662</v>
      </c>
      <c r="D65" s="100"/>
      <c r="E65" s="100"/>
      <c r="F65" s="100"/>
      <c r="G65" s="100"/>
      <c r="J65" s="21" t="s">
        <v>8</v>
      </c>
      <c r="K65" s="27" t="s">
        <v>14</v>
      </c>
      <c r="L65" s="98">
        <f>SUMIFS(Tabela1[Custo de Produção],Tabela1[País de Destino],'Perguntas 1 a 24'!K65,Tabela1[Origem],'Perguntas 1 a 24'!J65)</f>
        <v>8232183</v>
      </c>
    </row>
    <row r="66" spans="3:14">
      <c r="C66" s="100"/>
      <c r="D66" s="100"/>
      <c r="E66" s="100"/>
      <c r="F66" s="100"/>
      <c r="G66" s="100"/>
    </row>
    <row r="67" spans="3:14" ht="14.45" customHeight="1">
      <c r="J67" s="101" t="s">
        <v>68</v>
      </c>
      <c r="K67" s="101"/>
      <c r="L67" s="101"/>
      <c r="M67" s="101"/>
      <c r="N67" s="101"/>
    </row>
    <row r="68" spans="3:14">
      <c r="C68" s="26" t="s">
        <v>43</v>
      </c>
      <c r="D68" s="24" t="s">
        <v>44</v>
      </c>
      <c r="E68" s="24" t="s">
        <v>45</v>
      </c>
      <c r="F68" s="24" t="s">
        <v>46</v>
      </c>
      <c r="G68" s="24" t="s">
        <v>47</v>
      </c>
      <c r="J68" s="101"/>
      <c r="K68" s="101"/>
      <c r="L68" s="101"/>
      <c r="M68" s="101"/>
      <c r="N68" s="101"/>
    </row>
    <row r="69" spans="3:14">
      <c r="C69" s="25">
        <v>67057272</v>
      </c>
      <c r="D69" s="25">
        <v>69997.152400835068</v>
      </c>
      <c r="E69" s="24">
        <v>959</v>
      </c>
      <c r="F69" s="25">
        <v>119595</v>
      </c>
      <c r="G69" s="25">
        <v>20081</v>
      </c>
      <c r="J69" s="101"/>
      <c r="K69" s="101"/>
      <c r="L69" s="101"/>
      <c r="M69" s="101"/>
      <c r="N69" s="101"/>
    </row>
    <row r="70" spans="3:14">
      <c r="J70" s="101"/>
      <c r="K70" s="101"/>
      <c r="L70" s="101"/>
      <c r="M70" s="101"/>
      <c r="N70" s="101"/>
    </row>
    <row r="71" spans="3:14">
      <c r="C71" s="100" t="s">
        <v>55</v>
      </c>
      <c r="D71" s="100"/>
      <c r="E71" s="100"/>
      <c r="F71" s="100"/>
      <c r="G71" s="100"/>
      <c r="J71" s="101"/>
      <c r="K71" s="101"/>
      <c r="L71" s="101"/>
      <c r="M71" s="101"/>
      <c r="N71" s="101"/>
    </row>
    <row r="72" spans="3:14">
      <c r="C72" s="100"/>
      <c r="D72" s="100"/>
      <c r="E72" s="100"/>
      <c r="F72" s="100"/>
      <c r="G72" s="100"/>
      <c r="J72" s="101"/>
      <c r="K72" s="101"/>
      <c r="L72" s="101"/>
      <c r="M72" s="101"/>
      <c r="N72" s="101"/>
    </row>
    <row r="73" spans="3:14">
      <c r="C73" s="100"/>
      <c r="D73" s="100"/>
      <c r="E73" s="100"/>
      <c r="F73" s="100"/>
      <c r="G73" s="100"/>
      <c r="J73" t="s">
        <v>15185</v>
      </c>
      <c r="K73" t="s">
        <v>15190</v>
      </c>
      <c r="L73" t="s">
        <v>15193</v>
      </c>
    </row>
    <row r="74" spans="3:14">
      <c r="J74" t="s">
        <v>15186</v>
      </c>
      <c r="K74" t="s">
        <v>15190</v>
      </c>
      <c r="L74" t="s">
        <v>15194</v>
      </c>
    </row>
    <row r="75" spans="3:14">
      <c r="J75" t="s">
        <v>15187</v>
      </c>
      <c r="K75" t="s">
        <v>15191</v>
      </c>
      <c r="L75" t="s">
        <v>15195</v>
      </c>
    </row>
    <row r="76" spans="3:14">
      <c r="J76" t="s">
        <v>15188</v>
      </c>
      <c r="K76" t="s">
        <v>15191</v>
      </c>
      <c r="L76" t="s">
        <v>15194</v>
      </c>
    </row>
    <row r="77" spans="3:14">
      <c r="J77" t="s">
        <v>15189</v>
      </c>
      <c r="K77" t="s">
        <v>15192</v>
      </c>
    </row>
    <row r="82" spans="3:7">
      <c r="C82" s="17"/>
      <c r="D82" s="17"/>
      <c r="E82" s="17"/>
      <c r="F82" s="17"/>
      <c r="G82" s="17"/>
    </row>
  </sheetData>
  <mergeCells count="24">
    <mergeCell ref="B31:B32"/>
    <mergeCell ref="J36:N37"/>
    <mergeCell ref="J49:N50"/>
    <mergeCell ref="C33:G35"/>
    <mergeCell ref="J11:N12"/>
    <mergeCell ref="J2:N4"/>
    <mergeCell ref="C30:G31"/>
    <mergeCell ref="C40:G42"/>
    <mergeCell ref="C47:G48"/>
    <mergeCell ref="C53:G54"/>
    <mergeCell ref="J6:N7"/>
    <mergeCell ref="J9:N9"/>
    <mergeCell ref="J24:N25"/>
    <mergeCell ref="C5:G8"/>
    <mergeCell ref="C2:G3"/>
    <mergeCell ref="C17:G19"/>
    <mergeCell ref="C12:G13"/>
    <mergeCell ref="J59:N63"/>
    <mergeCell ref="C21:G23"/>
    <mergeCell ref="C26:G28"/>
    <mergeCell ref="C71:G73"/>
    <mergeCell ref="C65:G66"/>
    <mergeCell ref="C59:G60"/>
    <mergeCell ref="J67:N72"/>
  </mergeCells>
  <dataValidations count="2">
    <dataValidation type="list" allowBlank="1" showInputMessage="1" showErrorMessage="1" sqref="J65" xr:uid="{59E7BCBF-A1E7-41AE-9E6B-C7137ABE7B0D}">
      <formula1>$J$28:$J$34</formula1>
    </dataValidation>
    <dataValidation type="list" allowBlank="1" showInputMessage="1" showErrorMessage="1" sqref="K65" xr:uid="{AC8B212B-292D-4CE8-A026-90B031F90B15}">
      <formula1>$K$38:$N$38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2941-2F93-4DC6-9F36-E30F6FD17A4E}">
  <dimension ref="A1:MY80"/>
  <sheetViews>
    <sheetView showGridLines="0" zoomScaleNormal="100" workbookViewId="0">
      <pane xSplit="2" ySplit="2" topLeftCell="C3" activePane="bottomRight" state="frozen"/>
      <selection activeCell="W4" sqref="W4"/>
      <selection pane="topRight" activeCell="W4" sqref="W4"/>
      <selection pane="bottomLeft" activeCell="W4" sqref="W4"/>
      <selection pane="bottomRight" activeCell="M29" sqref="M29"/>
    </sheetView>
  </sheetViews>
  <sheetFormatPr defaultRowHeight="14.25"/>
  <cols>
    <col min="2" max="2" width="26.625" bestFit="1" customWidth="1"/>
    <col min="3" max="3" width="9.875" bestFit="1" customWidth="1"/>
    <col min="4" max="4" width="10.75" bestFit="1" customWidth="1"/>
    <col min="5" max="5" width="9.625" bestFit="1" customWidth="1"/>
    <col min="6" max="10" width="10.5" bestFit="1" customWidth="1"/>
    <col min="11" max="11" width="11.875" customWidth="1"/>
    <col min="12" max="12" width="9" bestFit="1" customWidth="1"/>
    <col min="13" max="13" width="9.625" bestFit="1" customWidth="1"/>
    <col min="14" max="14" width="10.5" bestFit="1" customWidth="1"/>
    <col min="15" max="15" width="9.625" bestFit="1" customWidth="1"/>
    <col min="16" max="21" width="10.5" bestFit="1" customWidth="1"/>
    <col min="22" max="22" width="10.5" customWidth="1"/>
    <col min="23" max="26" width="10.5" bestFit="1" customWidth="1"/>
    <col min="27" max="27" width="10.5" customWidth="1"/>
    <col min="28" max="38" width="10.5" bestFit="1" customWidth="1"/>
    <col min="39" max="39" width="11.5" bestFit="1" customWidth="1"/>
    <col min="40" max="40" width="11.25" bestFit="1" customWidth="1"/>
    <col min="41" max="208" width="11.5" bestFit="1" customWidth="1"/>
    <col min="209" max="211" width="12.25" bestFit="1" customWidth="1"/>
    <col min="212" max="214" width="10.5" bestFit="1" customWidth="1"/>
    <col min="215" max="215" width="11.25" bestFit="1" customWidth="1"/>
    <col min="216" max="218" width="10.5" bestFit="1" customWidth="1"/>
    <col min="219" max="220" width="11.25" bestFit="1" customWidth="1"/>
    <col min="221" max="221" width="10.5" bestFit="1" customWidth="1"/>
    <col min="222" max="222" width="11.25" bestFit="1" customWidth="1"/>
    <col min="223" max="223" width="10.5" bestFit="1" customWidth="1"/>
    <col min="224" max="224" width="11.25" bestFit="1" customWidth="1"/>
    <col min="225" max="225" width="9.625" bestFit="1" customWidth="1"/>
    <col min="226" max="226" width="10.25" bestFit="1" customWidth="1"/>
    <col min="227" max="227" width="9.625" bestFit="1" customWidth="1"/>
    <col min="228" max="235" width="10.5" bestFit="1" customWidth="1"/>
    <col min="236" max="237" width="11.5" bestFit="1" customWidth="1"/>
    <col min="238" max="238" width="12.25" bestFit="1" customWidth="1"/>
    <col min="239" max="239" width="11.25" bestFit="1" customWidth="1"/>
    <col min="240" max="240" width="10.5" bestFit="1" customWidth="1"/>
    <col min="241" max="241" width="12.25" bestFit="1" customWidth="1"/>
    <col min="242" max="243" width="11.25" bestFit="1" customWidth="1"/>
    <col min="244" max="246" width="10.5" bestFit="1" customWidth="1"/>
    <col min="247" max="247" width="11.25" bestFit="1" customWidth="1"/>
    <col min="248" max="248" width="10.5" bestFit="1" customWidth="1"/>
    <col min="249" max="249" width="11.25" bestFit="1" customWidth="1"/>
    <col min="250" max="251" width="10.5" bestFit="1" customWidth="1"/>
    <col min="252" max="253" width="11.25" bestFit="1" customWidth="1"/>
    <col min="254" max="255" width="10.5" bestFit="1" customWidth="1"/>
    <col min="256" max="256" width="11.25" bestFit="1" customWidth="1"/>
    <col min="257" max="257" width="9.625" bestFit="1" customWidth="1"/>
    <col min="258" max="263" width="11.25" bestFit="1" customWidth="1"/>
    <col min="264" max="264" width="10.5" bestFit="1" customWidth="1"/>
    <col min="265" max="266" width="9.625" bestFit="1" customWidth="1"/>
    <col min="267" max="267" width="11.25" bestFit="1" customWidth="1"/>
    <col min="268" max="271" width="10.5" bestFit="1" customWidth="1"/>
    <col min="272" max="272" width="11.25" bestFit="1" customWidth="1"/>
    <col min="273" max="275" width="11.5" bestFit="1" customWidth="1"/>
    <col min="276" max="277" width="11.25" bestFit="1" customWidth="1"/>
    <col min="278" max="278" width="10.5" bestFit="1" customWidth="1"/>
    <col min="279" max="282" width="11.25" bestFit="1" customWidth="1"/>
    <col min="283" max="283" width="10.5" bestFit="1" customWidth="1"/>
    <col min="284" max="285" width="11.25" bestFit="1" customWidth="1"/>
    <col min="286" max="286" width="10.5" bestFit="1" customWidth="1"/>
    <col min="287" max="287" width="11.25" bestFit="1" customWidth="1"/>
    <col min="288" max="289" width="10.5" bestFit="1" customWidth="1"/>
    <col min="290" max="292" width="11.25" bestFit="1" customWidth="1"/>
    <col min="293" max="293" width="10.5" bestFit="1" customWidth="1"/>
    <col min="294" max="295" width="11.25" bestFit="1" customWidth="1"/>
    <col min="296" max="296" width="10.5" bestFit="1" customWidth="1"/>
    <col min="297" max="297" width="11.25" bestFit="1" customWidth="1"/>
    <col min="298" max="301" width="10.5" bestFit="1" customWidth="1"/>
    <col min="302" max="302" width="11.25" bestFit="1" customWidth="1"/>
    <col min="303" max="304" width="11.5" bestFit="1" customWidth="1"/>
    <col min="305" max="305" width="12.25" bestFit="1" customWidth="1"/>
    <col min="306" max="332" width="11.5" bestFit="1" customWidth="1"/>
    <col min="333" max="333" width="12.25" bestFit="1" customWidth="1"/>
    <col min="334" max="334" width="11.25" bestFit="1" customWidth="1"/>
    <col min="335" max="336" width="10.5" bestFit="1" customWidth="1"/>
    <col min="337" max="337" width="11.25" bestFit="1" customWidth="1"/>
    <col min="338" max="339" width="10.5" bestFit="1" customWidth="1"/>
    <col min="340" max="342" width="11.25" bestFit="1" customWidth="1"/>
    <col min="343" max="343" width="10.5" bestFit="1" customWidth="1"/>
    <col min="344" max="344" width="11.25" bestFit="1" customWidth="1"/>
    <col min="345" max="346" width="10.5" bestFit="1" customWidth="1"/>
    <col min="347" max="347" width="11.25" bestFit="1" customWidth="1"/>
    <col min="348" max="351" width="10.5" bestFit="1" customWidth="1"/>
    <col min="352" max="352" width="11.25" bestFit="1" customWidth="1"/>
    <col min="353" max="356" width="10.5" bestFit="1" customWidth="1"/>
    <col min="357" max="357" width="11.25" bestFit="1" customWidth="1"/>
    <col min="358" max="361" width="10.5" bestFit="1" customWidth="1"/>
    <col min="362" max="362" width="11.25" bestFit="1" customWidth="1"/>
    <col min="363" max="363" width="11.875" bestFit="1" customWidth="1"/>
  </cols>
  <sheetData>
    <row r="1" spans="1:363" ht="15" customHeight="1">
      <c r="A1" s="29"/>
      <c r="B1" s="30"/>
      <c r="C1" s="112">
        <v>43101</v>
      </c>
      <c r="D1" s="113"/>
      <c r="E1" s="113"/>
      <c r="F1" s="113"/>
      <c r="G1" s="114"/>
      <c r="H1" s="112">
        <v>43132</v>
      </c>
      <c r="I1" s="113"/>
      <c r="J1" s="113"/>
      <c r="K1" s="113"/>
      <c r="L1" s="114"/>
      <c r="M1" s="112">
        <v>43160</v>
      </c>
      <c r="N1" s="113"/>
      <c r="O1" s="113"/>
      <c r="P1" s="113"/>
      <c r="Q1" s="114"/>
      <c r="R1" s="112">
        <v>43191</v>
      </c>
      <c r="S1" s="113"/>
      <c r="T1" s="113"/>
      <c r="U1" s="113"/>
      <c r="V1" s="114"/>
      <c r="W1" s="112">
        <v>43221</v>
      </c>
      <c r="X1" s="113"/>
      <c r="Y1" s="113"/>
      <c r="Z1" s="113"/>
      <c r="AA1" s="114"/>
      <c r="AB1" s="112">
        <v>43252</v>
      </c>
      <c r="AC1" s="113"/>
      <c r="AD1" s="113"/>
      <c r="AE1" s="113"/>
      <c r="AF1" s="114"/>
      <c r="AG1" s="112">
        <v>43282</v>
      </c>
      <c r="AH1" s="113"/>
      <c r="AI1" s="113"/>
      <c r="AJ1" s="113"/>
      <c r="AK1" s="114"/>
      <c r="AL1" s="112">
        <v>43313</v>
      </c>
      <c r="AM1" s="113"/>
      <c r="AN1" s="113"/>
      <c r="AO1" s="113"/>
      <c r="AP1" s="114"/>
      <c r="AQ1" s="112">
        <v>43344</v>
      </c>
      <c r="AR1" s="113"/>
      <c r="AS1" s="113"/>
      <c r="AT1" s="113"/>
      <c r="AU1" s="114"/>
      <c r="AV1" s="112">
        <v>43374</v>
      </c>
      <c r="AW1" s="113"/>
      <c r="AX1" s="113"/>
      <c r="AY1" s="113"/>
      <c r="AZ1" s="114"/>
      <c r="BA1" s="112">
        <v>43405</v>
      </c>
      <c r="BB1" s="113"/>
      <c r="BC1" s="113"/>
      <c r="BD1" s="113"/>
      <c r="BE1" s="114"/>
      <c r="BF1" s="112">
        <v>43435</v>
      </c>
      <c r="BG1" s="113"/>
      <c r="BH1" s="113"/>
      <c r="BI1" s="113"/>
      <c r="BJ1" s="114"/>
      <c r="BK1" s="112">
        <v>43466</v>
      </c>
      <c r="BL1" s="113"/>
      <c r="BM1" s="113"/>
      <c r="BN1" s="113"/>
      <c r="BO1" s="114"/>
      <c r="BP1" s="112">
        <v>43497</v>
      </c>
      <c r="BQ1" s="113"/>
      <c r="BR1" s="113"/>
      <c r="BS1" s="113"/>
      <c r="BT1" s="114"/>
      <c r="BU1" s="112">
        <v>43525</v>
      </c>
      <c r="BV1" s="113"/>
      <c r="BW1" s="113"/>
      <c r="BX1" s="113"/>
      <c r="BY1" s="114"/>
      <c r="BZ1" s="112">
        <v>43556</v>
      </c>
      <c r="CA1" s="113"/>
      <c r="CB1" s="113"/>
      <c r="CC1" s="113"/>
      <c r="CD1" s="114"/>
      <c r="CE1" s="112">
        <v>43586</v>
      </c>
      <c r="CF1" s="113"/>
      <c r="CG1" s="113"/>
      <c r="CH1" s="113"/>
      <c r="CI1" s="114"/>
      <c r="CJ1" s="115">
        <v>43617</v>
      </c>
      <c r="CK1" s="116"/>
      <c r="CL1" s="116"/>
      <c r="CM1" s="116"/>
      <c r="CN1" s="116"/>
      <c r="CO1" s="115">
        <v>43647</v>
      </c>
      <c r="CP1" s="116"/>
      <c r="CQ1" s="116"/>
      <c r="CR1" s="116"/>
      <c r="CS1" s="116"/>
      <c r="CT1" s="115">
        <v>43678</v>
      </c>
      <c r="CU1" s="116"/>
      <c r="CV1" s="116"/>
      <c r="CW1" s="116"/>
      <c r="CX1" s="116"/>
      <c r="CY1" s="115">
        <v>43709</v>
      </c>
      <c r="CZ1" s="116"/>
      <c r="DA1" s="116"/>
      <c r="DB1" s="116"/>
      <c r="DC1" s="116"/>
      <c r="DD1" s="115">
        <v>43739</v>
      </c>
      <c r="DE1" s="116"/>
      <c r="DF1" s="116"/>
      <c r="DG1" s="116"/>
      <c r="DH1" s="116"/>
      <c r="DI1" s="115">
        <v>43770</v>
      </c>
      <c r="DJ1" s="116"/>
      <c r="DK1" s="116"/>
      <c r="DL1" s="116"/>
      <c r="DM1" s="116"/>
      <c r="DN1" s="115">
        <v>43800</v>
      </c>
      <c r="DO1" s="116"/>
      <c r="DP1" s="116"/>
      <c r="DQ1" s="116"/>
      <c r="DR1" s="116"/>
      <c r="DS1" s="115">
        <v>43831</v>
      </c>
      <c r="DT1" s="116"/>
      <c r="DU1" s="116"/>
      <c r="DV1" s="116"/>
      <c r="DW1" s="116"/>
      <c r="DX1" s="115">
        <v>43862</v>
      </c>
      <c r="DY1" s="116"/>
      <c r="DZ1" s="116"/>
      <c r="EA1" s="116"/>
      <c r="EB1" s="116"/>
      <c r="EC1" s="117">
        <v>43891</v>
      </c>
      <c r="ED1" s="117"/>
      <c r="EE1" s="117"/>
      <c r="EF1" s="117"/>
      <c r="EG1" s="117"/>
      <c r="EH1" s="116">
        <v>43922</v>
      </c>
      <c r="EI1" s="116"/>
      <c r="EJ1" s="116"/>
      <c r="EK1" s="116"/>
      <c r="EL1" s="116"/>
      <c r="EM1" s="115">
        <v>43952</v>
      </c>
      <c r="EN1" s="116"/>
      <c r="EO1" s="116"/>
      <c r="EP1" s="116"/>
      <c r="EQ1" s="116"/>
      <c r="ER1" s="115">
        <v>43983</v>
      </c>
      <c r="ES1" s="116"/>
      <c r="ET1" s="116"/>
      <c r="EU1" s="116"/>
      <c r="EV1" s="116"/>
      <c r="EW1" s="115">
        <v>44013</v>
      </c>
      <c r="EX1" s="116"/>
      <c r="EY1" s="116"/>
      <c r="EZ1" s="116"/>
      <c r="FA1" s="116"/>
      <c r="FB1" s="115">
        <v>44044</v>
      </c>
      <c r="FC1" s="116"/>
      <c r="FD1" s="116"/>
      <c r="FE1" s="116"/>
      <c r="FF1" s="116"/>
      <c r="FG1" s="115">
        <v>44075</v>
      </c>
      <c r="FH1" s="116"/>
      <c r="FI1" s="116"/>
      <c r="FJ1" s="116"/>
      <c r="FK1" s="116"/>
      <c r="FL1" s="115">
        <v>44105</v>
      </c>
      <c r="FM1" s="116"/>
      <c r="FN1" s="116"/>
      <c r="FO1" s="116"/>
      <c r="FP1" s="116"/>
      <c r="FQ1" s="115">
        <v>44136</v>
      </c>
      <c r="FR1" s="116"/>
      <c r="FS1" s="116"/>
      <c r="FT1" s="116"/>
      <c r="FU1" s="116"/>
      <c r="FV1" s="115">
        <v>44166</v>
      </c>
      <c r="FW1" s="116"/>
      <c r="FX1" s="116"/>
      <c r="FY1" s="116"/>
      <c r="FZ1" s="116"/>
      <c r="GA1" s="115">
        <v>44197</v>
      </c>
      <c r="GB1" s="116"/>
      <c r="GC1" s="116"/>
      <c r="GD1" s="116"/>
      <c r="GE1" s="116"/>
      <c r="GF1" s="115">
        <v>44228</v>
      </c>
      <c r="GG1" s="116"/>
      <c r="GH1" s="116"/>
      <c r="GI1" s="116"/>
      <c r="GJ1" s="116"/>
      <c r="GK1" s="115">
        <v>44256</v>
      </c>
      <c r="GL1" s="116"/>
      <c r="GM1" s="116"/>
      <c r="GN1" s="116"/>
      <c r="GO1" s="116"/>
      <c r="GP1" s="115">
        <v>44287</v>
      </c>
      <c r="GQ1" s="116"/>
      <c r="GR1" s="116"/>
      <c r="GS1" s="116"/>
      <c r="GT1" s="116"/>
      <c r="GU1" s="115">
        <v>44317</v>
      </c>
      <c r="GV1" s="116"/>
      <c r="GW1" s="116"/>
      <c r="GX1" s="116"/>
      <c r="GY1" s="116"/>
      <c r="GZ1" s="115">
        <v>44348</v>
      </c>
      <c r="HA1" s="116"/>
      <c r="HB1" s="116"/>
      <c r="HC1" s="116"/>
      <c r="HD1" s="116"/>
      <c r="HE1" s="115">
        <v>44378</v>
      </c>
      <c r="HF1" s="116"/>
      <c r="HG1" s="116"/>
      <c r="HH1" s="116"/>
      <c r="HI1" s="116"/>
      <c r="HJ1" s="115">
        <v>44409</v>
      </c>
      <c r="HK1" s="116"/>
      <c r="HL1" s="116"/>
      <c r="HM1" s="116"/>
      <c r="HN1" s="116"/>
      <c r="HO1" s="115">
        <v>44440</v>
      </c>
      <c r="HP1" s="116"/>
      <c r="HQ1" s="116"/>
      <c r="HR1" s="116"/>
      <c r="HS1" s="116"/>
      <c r="HT1" s="115">
        <v>44470</v>
      </c>
      <c r="HU1" s="116"/>
      <c r="HV1" s="116"/>
      <c r="HW1" s="116"/>
      <c r="HX1" s="116"/>
      <c r="HY1" s="115">
        <v>44501</v>
      </c>
      <c r="HZ1" s="116"/>
      <c r="IA1" s="116"/>
      <c r="IB1" s="116"/>
      <c r="IC1" s="116"/>
      <c r="ID1" s="115">
        <v>44531</v>
      </c>
      <c r="IE1" s="116"/>
      <c r="IF1" s="116"/>
      <c r="IG1" s="116"/>
      <c r="IH1" s="116"/>
      <c r="II1" s="112">
        <v>44562</v>
      </c>
      <c r="IJ1" s="113"/>
      <c r="IK1" s="113"/>
      <c r="IL1" s="113"/>
      <c r="IM1" s="114"/>
      <c r="IN1" s="112">
        <v>44593</v>
      </c>
      <c r="IO1" s="113"/>
      <c r="IP1" s="113"/>
      <c r="IQ1" s="113"/>
      <c r="IR1" s="114"/>
      <c r="IS1" s="112">
        <v>44621</v>
      </c>
      <c r="IT1" s="113"/>
      <c r="IU1" s="113"/>
      <c r="IV1" s="113"/>
      <c r="IW1" s="114"/>
      <c r="IX1" s="112">
        <v>44652</v>
      </c>
      <c r="IY1" s="113"/>
      <c r="IZ1" s="113"/>
      <c r="JA1" s="113"/>
      <c r="JB1" s="114"/>
      <c r="JC1" s="112">
        <v>44682</v>
      </c>
      <c r="JD1" s="113"/>
      <c r="JE1" s="113"/>
      <c r="JF1" s="113"/>
      <c r="JG1" s="114"/>
      <c r="JH1" s="112">
        <v>44713</v>
      </c>
      <c r="JI1" s="113"/>
      <c r="JJ1" s="113"/>
      <c r="JK1" s="113"/>
      <c r="JL1" s="114"/>
      <c r="JM1" s="112">
        <v>44743</v>
      </c>
      <c r="JN1" s="113"/>
      <c r="JO1" s="113"/>
      <c r="JP1" s="113"/>
      <c r="JQ1" s="114"/>
      <c r="JR1" s="112">
        <v>44774</v>
      </c>
      <c r="JS1" s="113"/>
      <c r="JT1" s="113"/>
      <c r="JU1" s="113"/>
      <c r="JV1" s="114"/>
      <c r="JW1" s="112">
        <v>44805</v>
      </c>
      <c r="JX1" s="113"/>
      <c r="JY1" s="113"/>
      <c r="JZ1" s="113"/>
      <c r="KA1" s="114"/>
      <c r="KB1" s="112">
        <v>44835</v>
      </c>
      <c r="KC1" s="113"/>
      <c r="KD1" s="113"/>
      <c r="KE1" s="113"/>
      <c r="KF1" s="114"/>
      <c r="KG1" s="112">
        <v>44866</v>
      </c>
      <c r="KH1" s="113"/>
      <c r="KI1" s="113"/>
      <c r="KJ1" s="113"/>
      <c r="KK1" s="114"/>
      <c r="KL1" s="112">
        <v>44896</v>
      </c>
      <c r="KM1" s="113"/>
      <c r="KN1" s="113"/>
      <c r="KO1" s="113"/>
      <c r="KP1" s="114"/>
      <c r="KQ1" s="112">
        <v>44927</v>
      </c>
      <c r="KR1" s="113"/>
      <c r="KS1" s="113"/>
      <c r="KT1" s="113"/>
      <c r="KU1" s="114"/>
      <c r="KV1" s="112">
        <v>44958</v>
      </c>
      <c r="KW1" s="113"/>
      <c r="KX1" s="113"/>
      <c r="KY1" s="113"/>
      <c r="KZ1" s="114"/>
      <c r="LA1" s="112">
        <v>44986</v>
      </c>
      <c r="LB1" s="113"/>
      <c r="LC1" s="113"/>
      <c r="LD1" s="113"/>
      <c r="LE1" s="114"/>
      <c r="LF1" s="112">
        <v>45017</v>
      </c>
      <c r="LG1" s="113"/>
      <c r="LH1" s="113"/>
      <c r="LI1" s="113"/>
      <c r="LJ1" s="114"/>
      <c r="LK1" s="112">
        <v>45047</v>
      </c>
      <c r="LL1" s="113"/>
      <c r="LM1" s="113"/>
      <c r="LN1" s="113"/>
      <c r="LO1" s="114"/>
      <c r="LP1" s="112">
        <v>45078</v>
      </c>
      <c r="LQ1" s="113"/>
      <c r="LR1" s="113"/>
      <c r="LS1" s="113"/>
      <c r="LT1" s="114"/>
      <c r="LU1" s="112">
        <v>45108</v>
      </c>
      <c r="LV1" s="113"/>
      <c r="LW1" s="113"/>
      <c r="LX1" s="113"/>
      <c r="LY1" s="114"/>
      <c r="LZ1" s="112">
        <v>45139</v>
      </c>
      <c r="MA1" s="113"/>
      <c r="MB1" s="113"/>
      <c r="MC1" s="113"/>
      <c r="MD1" s="114"/>
      <c r="ME1" s="112">
        <v>45170</v>
      </c>
      <c r="MF1" s="113"/>
      <c r="MG1" s="113"/>
      <c r="MH1" s="113"/>
      <c r="MI1" s="114"/>
      <c r="MJ1" s="112">
        <v>45200</v>
      </c>
      <c r="MK1" s="113"/>
      <c r="ML1" s="113"/>
      <c r="MM1" s="113"/>
      <c r="MN1" s="114"/>
      <c r="MO1" s="112">
        <v>45231</v>
      </c>
      <c r="MP1" s="113"/>
      <c r="MQ1" s="113"/>
      <c r="MR1" s="113"/>
      <c r="MS1" s="114"/>
      <c r="MT1" s="112">
        <v>45261</v>
      </c>
      <c r="MU1" s="113"/>
      <c r="MV1" s="113"/>
      <c r="MW1" s="113"/>
      <c r="MX1" s="114"/>
    </row>
    <row r="2" spans="1:363">
      <c r="A2" s="31"/>
      <c r="B2" s="32" t="s">
        <v>0</v>
      </c>
      <c r="C2" s="33" t="s">
        <v>74</v>
      </c>
      <c r="D2" s="33" t="s">
        <v>75</v>
      </c>
      <c r="E2" s="33" t="s">
        <v>76</v>
      </c>
      <c r="F2" s="33" t="s">
        <v>77</v>
      </c>
      <c r="G2" s="33" t="s">
        <v>78</v>
      </c>
      <c r="H2" s="33" t="s">
        <v>74</v>
      </c>
      <c r="I2" s="33" t="s">
        <v>75</v>
      </c>
      <c r="J2" s="33" t="s">
        <v>76</v>
      </c>
      <c r="K2" s="33" t="s">
        <v>77</v>
      </c>
      <c r="L2" s="33" t="s">
        <v>78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74</v>
      </c>
      <c r="S2" s="33" t="s">
        <v>75</v>
      </c>
      <c r="T2" s="33" t="s">
        <v>76</v>
      </c>
      <c r="U2" s="33" t="s">
        <v>77</v>
      </c>
      <c r="V2" s="33" t="s">
        <v>78</v>
      </c>
      <c r="W2" s="33" t="s">
        <v>74</v>
      </c>
      <c r="X2" s="33" t="s">
        <v>75</v>
      </c>
      <c r="Y2" s="33" t="s">
        <v>76</v>
      </c>
      <c r="Z2" s="33" t="s">
        <v>77</v>
      </c>
      <c r="AA2" s="33" t="s">
        <v>78</v>
      </c>
      <c r="AB2" s="33" t="s">
        <v>74</v>
      </c>
      <c r="AC2" s="33" t="s">
        <v>75</v>
      </c>
      <c r="AD2" s="33" t="s">
        <v>76</v>
      </c>
      <c r="AE2" s="33" t="s">
        <v>77</v>
      </c>
      <c r="AF2" s="33" t="s">
        <v>78</v>
      </c>
      <c r="AG2" s="33" t="s">
        <v>74</v>
      </c>
      <c r="AH2" s="33" t="s">
        <v>75</v>
      </c>
      <c r="AI2" s="33" t="s">
        <v>76</v>
      </c>
      <c r="AJ2" s="33" t="s">
        <v>77</v>
      </c>
      <c r="AK2" s="33" t="s">
        <v>78</v>
      </c>
      <c r="AL2" s="33" t="s">
        <v>74</v>
      </c>
      <c r="AM2" s="33" t="s">
        <v>75</v>
      </c>
      <c r="AN2" s="33" t="s">
        <v>76</v>
      </c>
      <c r="AO2" s="33" t="s">
        <v>77</v>
      </c>
      <c r="AP2" s="33" t="s">
        <v>78</v>
      </c>
      <c r="AQ2" s="33" t="s">
        <v>74</v>
      </c>
      <c r="AR2" s="33" t="s">
        <v>75</v>
      </c>
      <c r="AS2" s="33" t="s">
        <v>76</v>
      </c>
      <c r="AT2" s="33" t="s">
        <v>77</v>
      </c>
      <c r="AU2" s="33" t="s">
        <v>78</v>
      </c>
      <c r="AV2" s="33" t="s">
        <v>74</v>
      </c>
      <c r="AW2" s="33" t="s">
        <v>75</v>
      </c>
      <c r="AX2" s="33" t="s">
        <v>76</v>
      </c>
      <c r="AY2" s="33" t="s">
        <v>77</v>
      </c>
      <c r="AZ2" s="33" t="s">
        <v>78</v>
      </c>
      <c r="BA2" s="33" t="s">
        <v>74</v>
      </c>
      <c r="BB2" s="33" t="s">
        <v>75</v>
      </c>
      <c r="BC2" s="33" t="s">
        <v>76</v>
      </c>
      <c r="BD2" s="33" t="s">
        <v>77</v>
      </c>
      <c r="BE2" s="33" t="s">
        <v>78</v>
      </c>
      <c r="BF2" s="33" t="s">
        <v>74</v>
      </c>
      <c r="BG2" s="33" t="s">
        <v>75</v>
      </c>
      <c r="BH2" s="33" t="s">
        <v>76</v>
      </c>
      <c r="BI2" s="33" t="s">
        <v>77</v>
      </c>
      <c r="BJ2" s="33" t="s">
        <v>78</v>
      </c>
      <c r="BK2" s="33" t="s">
        <v>74</v>
      </c>
      <c r="BL2" s="33" t="s">
        <v>75</v>
      </c>
      <c r="BM2" s="33" t="s">
        <v>76</v>
      </c>
      <c r="BN2" s="33" t="s">
        <v>77</v>
      </c>
      <c r="BO2" s="33" t="s">
        <v>78</v>
      </c>
      <c r="BP2" s="33" t="s">
        <v>74</v>
      </c>
      <c r="BQ2" s="33" t="s">
        <v>75</v>
      </c>
      <c r="BR2" s="33" t="s">
        <v>76</v>
      </c>
      <c r="BS2" s="33" t="s">
        <v>77</v>
      </c>
      <c r="BT2" s="33" t="s">
        <v>78</v>
      </c>
      <c r="BU2" s="33" t="s">
        <v>74</v>
      </c>
      <c r="BV2" s="33" t="s">
        <v>75</v>
      </c>
      <c r="BW2" s="33" t="s">
        <v>76</v>
      </c>
      <c r="BX2" s="33" t="s">
        <v>77</v>
      </c>
      <c r="BY2" s="33" t="s">
        <v>78</v>
      </c>
      <c r="BZ2" s="33" t="s">
        <v>74</v>
      </c>
      <c r="CA2" s="33" t="s">
        <v>75</v>
      </c>
      <c r="CB2" s="33" t="s">
        <v>76</v>
      </c>
      <c r="CC2" s="33" t="s">
        <v>77</v>
      </c>
      <c r="CD2" s="33" t="s">
        <v>78</v>
      </c>
      <c r="CE2" s="33" t="s">
        <v>74</v>
      </c>
      <c r="CF2" s="33" t="s">
        <v>75</v>
      </c>
      <c r="CG2" s="33" t="s">
        <v>76</v>
      </c>
      <c r="CH2" s="33" t="s">
        <v>77</v>
      </c>
      <c r="CI2" s="33" t="s">
        <v>78</v>
      </c>
      <c r="CJ2" s="33" t="s">
        <v>74</v>
      </c>
      <c r="CK2" s="33" t="s">
        <v>75</v>
      </c>
      <c r="CL2" s="33" t="s">
        <v>76</v>
      </c>
      <c r="CM2" s="33" t="s">
        <v>77</v>
      </c>
      <c r="CN2" s="33" t="s">
        <v>78</v>
      </c>
      <c r="CO2" s="33" t="s">
        <v>74</v>
      </c>
      <c r="CP2" s="33" t="s">
        <v>75</v>
      </c>
      <c r="CQ2" s="33" t="s">
        <v>76</v>
      </c>
      <c r="CR2" s="33" t="s">
        <v>77</v>
      </c>
      <c r="CS2" s="33" t="s">
        <v>78</v>
      </c>
      <c r="CT2" s="33" t="s">
        <v>74</v>
      </c>
      <c r="CU2" s="33" t="s">
        <v>75</v>
      </c>
      <c r="CV2" s="33" t="s">
        <v>76</v>
      </c>
      <c r="CW2" s="33" t="s">
        <v>77</v>
      </c>
      <c r="CX2" s="33" t="s">
        <v>78</v>
      </c>
      <c r="CY2" s="33" t="s">
        <v>74</v>
      </c>
      <c r="CZ2" s="33" t="s">
        <v>75</v>
      </c>
      <c r="DA2" s="33" t="s">
        <v>76</v>
      </c>
      <c r="DB2" s="33" t="s">
        <v>77</v>
      </c>
      <c r="DC2" s="33" t="s">
        <v>78</v>
      </c>
      <c r="DD2" s="33" t="s">
        <v>74</v>
      </c>
      <c r="DE2" s="33" t="s">
        <v>75</v>
      </c>
      <c r="DF2" s="33" t="s">
        <v>76</v>
      </c>
      <c r="DG2" s="33" t="s">
        <v>77</v>
      </c>
      <c r="DH2" s="33" t="s">
        <v>78</v>
      </c>
      <c r="DI2" s="33" t="s">
        <v>74</v>
      </c>
      <c r="DJ2" s="33" t="s">
        <v>75</v>
      </c>
      <c r="DK2" s="33" t="s">
        <v>76</v>
      </c>
      <c r="DL2" s="33" t="s">
        <v>77</v>
      </c>
      <c r="DM2" s="33" t="s">
        <v>78</v>
      </c>
      <c r="DN2" s="33" t="s">
        <v>74</v>
      </c>
      <c r="DO2" s="33" t="s">
        <v>75</v>
      </c>
      <c r="DP2" s="33" t="s">
        <v>76</v>
      </c>
      <c r="DQ2" s="33" t="s">
        <v>77</v>
      </c>
      <c r="DR2" s="33" t="s">
        <v>78</v>
      </c>
      <c r="DS2" s="33" t="s">
        <v>74</v>
      </c>
      <c r="DT2" s="33" t="s">
        <v>75</v>
      </c>
      <c r="DU2" s="33" t="s">
        <v>76</v>
      </c>
      <c r="DV2" s="33" t="s">
        <v>77</v>
      </c>
      <c r="DW2" s="33" t="s">
        <v>78</v>
      </c>
      <c r="DX2" s="33" t="s">
        <v>74</v>
      </c>
      <c r="DY2" s="33" t="s">
        <v>75</v>
      </c>
      <c r="DZ2" s="33" t="s">
        <v>76</v>
      </c>
      <c r="EA2" s="33" t="s">
        <v>77</v>
      </c>
      <c r="EB2" s="34" t="s">
        <v>78</v>
      </c>
      <c r="EC2" s="33" t="s">
        <v>74</v>
      </c>
      <c r="ED2" s="33" t="s">
        <v>75</v>
      </c>
      <c r="EE2" s="33" t="s">
        <v>76</v>
      </c>
      <c r="EF2" s="33" t="s">
        <v>77</v>
      </c>
      <c r="EG2" s="33" t="s">
        <v>78</v>
      </c>
      <c r="EH2" s="35" t="s">
        <v>74</v>
      </c>
      <c r="EI2" s="33" t="s">
        <v>75</v>
      </c>
      <c r="EJ2" s="33" t="s">
        <v>76</v>
      </c>
      <c r="EK2" s="33" t="s">
        <v>77</v>
      </c>
      <c r="EL2" s="33" t="s">
        <v>78</v>
      </c>
      <c r="EM2" s="33" t="s">
        <v>74</v>
      </c>
      <c r="EN2" s="33" t="s">
        <v>75</v>
      </c>
      <c r="EO2" s="33" t="s">
        <v>76</v>
      </c>
      <c r="EP2" s="33" t="s">
        <v>77</v>
      </c>
      <c r="EQ2" s="33" t="s">
        <v>78</v>
      </c>
      <c r="ER2" s="33" t="s">
        <v>74</v>
      </c>
      <c r="ES2" s="33" t="s">
        <v>75</v>
      </c>
      <c r="ET2" s="33" t="s">
        <v>76</v>
      </c>
      <c r="EU2" s="33" t="s">
        <v>77</v>
      </c>
      <c r="EV2" s="33" t="s">
        <v>78</v>
      </c>
      <c r="EW2" s="33" t="s">
        <v>74</v>
      </c>
      <c r="EX2" s="33" t="s">
        <v>75</v>
      </c>
      <c r="EY2" s="33" t="s">
        <v>76</v>
      </c>
      <c r="EZ2" s="33" t="s">
        <v>77</v>
      </c>
      <c r="FA2" s="33" t="s">
        <v>78</v>
      </c>
      <c r="FB2" s="33" t="s">
        <v>74</v>
      </c>
      <c r="FC2" s="33" t="s">
        <v>75</v>
      </c>
      <c r="FD2" s="33" t="s">
        <v>76</v>
      </c>
      <c r="FE2" s="33" t="s">
        <v>77</v>
      </c>
      <c r="FF2" s="33" t="s">
        <v>78</v>
      </c>
      <c r="FG2" s="33" t="s">
        <v>74</v>
      </c>
      <c r="FH2" s="33" t="s">
        <v>75</v>
      </c>
      <c r="FI2" s="33" t="s">
        <v>76</v>
      </c>
      <c r="FJ2" s="33" t="s">
        <v>77</v>
      </c>
      <c r="FK2" s="33" t="s">
        <v>78</v>
      </c>
      <c r="FL2" s="33" t="s">
        <v>74</v>
      </c>
      <c r="FM2" s="33" t="s">
        <v>75</v>
      </c>
      <c r="FN2" s="33" t="s">
        <v>76</v>
      </c>
      <c r="FO2" s="33" t="s">
        <v>77</v>
      </c>
      <c r="FP2" s="33" t="s">
        <v>78</v>
      </c>
      <c r="FQ2" s="33" t="s">
        <v>74</v>
      </c>
      <c r="FR2" s="33" t="s">
        <v>75</v>
      </c>
      <c r="FS2" s="33" t="s">
        <v>76</v>
      </c>
      <c r="FT2" s="33" t="s">
        <v>77</v>
      </c>
      <c r="FU2" s="33" t="s">
        <v>78</v>
      </c>
      <c r="FV2" s="33" t="s">
        <v>74</v>
      </c>
      <c r="FW2" s="33" t="s">
        <v>75</v>
      </c>
      <c r="FX2" s="33" t="s">
        <v>76</v>
      </c>
      <c r="FY2" s="33" t="s">
        <v>77</v>
      </c>
      <c r="FZ2" s="33" t="s">
        <v>78</v>
      </c>
      <c r="GA2" s="33" t="s">
        <v>74</v>
      </c>
      <c r="GB2" s="33" t="s">
        <v>75</v>
      </c>
      <c r="GC2" s="33" t="s">
        <v>76</v>
      </c>
      <c r="GD2" s="33" t="s">
        <v>77</v>
      </c>
      <c r="GE2" s="33" t="s">
        <v>78</v>
      </c>
      <c r="GF2" s="33" t="s">
        <v>74</v>
      </c>
      <c r="GG2" s="33" t="s">
        <v>75</v>
      </c>
      <c r="GH2" s="33" t="s">
        <v>76</v>
      </c>
      <c r="GI2" s="33" t="s">
        <v>77</v>
      </c>
      <c r="GJ2" s="33" t="s">
        <v>78</v>
      </c>
      <c r="GK2" s="33" t="s">
        <v>74</v>
      </c>
      <c r="GL2" s="33" t="s">
        <v>75</v>
      </c>
      <c r="GM2" s="33" t="s">
        <v>76</v>
      </c>
      <c r="GN2" s="33" t="s">
        <v>77</v>
      </c>
      <c r="GO2" s="33" t="s">
        <v>78</v>
      </c>
      <c r="GP2" s="33" t="s">
        <v>74</v>
      </c>
      <c r="GQ2" s="33" t="s">
        <v>75</v>
      </c>
      <c r="GR2" s="33" t="s">
        <v>76</v>
      </c>
      <c r="GS2" s="33" t="s">
        <v>77</v>
      </c>
      <c r="GT2" s="33" t="s">
        <v>78</v>
      </c>
      <c r="GU2" s="33" t="s">
        <v>74</v>
      </c>
      <c r="GV2" s="33" t="s">
        <v>75</v>
      </c>
      <c r="GW2" s="33" t="s">
        <v>76</v>
      </c>
      <c r="GX2" s="33" t="s">
        <v>77</v>
      </c>
      <c r="GY2" s="33" t="s">
        <v>78</v>
      </c>
      <c r="GZ2" s="33" t="s">
        <v>74</v>
      </c>
      <c r="HA2" s="33" t="s">
        <v>75</v>
      </c>
      <c r="HB2" s="33" t="s">
        <v>76</v>
      </c>
      <c r="HC2" s="33" t="s">
        <v>77</v>
      </c>
      <c r="HD2" s="33" t="s">
        <v>78</v>
      </c>
      <c r="HE2" s="33" t="s">
        <v>74</v>
      </c>
      <c r="HF2" s="33" t="s">
        <v>75</v>
      </c>
      <c r="HG2" s="33" t="s">
        <v>76</v>
      </c>
      <c r="HH2" s="33" t="s">
        <v>77</v>
      </c>
      <c r="HI2" s="33" t="s">
        <v>78</v>
      </c>
      <c r="HJ2" s="33" t="s">
        <v>74</v>
      </c>
      <c r="HK2" s="33" t="s">
        <v>75</v>
      </c>
      <c r="HL2" s="33" t="s">
        <v>76</v>
      </c>
      <c r="HM2" s="33" t="s">
        <v>77</v>
      </c>
      <c r="HN2" s="33" t="s">
        <v>78</v>
      </c>
      <c r="HO2" s="33" t="s">
        <v>74</v>
      </c>
      <c r="HP2" s="33" t="s">
        <v>75</v>
      </c>
      <c r="HQ2" s="33" t="s">
        <v>76</v>
      </c>
      <c r="HR2" s="33" t="s">
        <v>77</v>
      </c>
      <c r="HS2" s="33" t="s">
        <v>78</v>
      </c>
      <c r="HT2" s="33" t="s">
        <v>74</v>
      </c>
      <c r="HU2" s="33" t="s">
        <v>75</v>
      </c>
      <c r="HV2" s="33" t="s">
        <v>76</v>
      </c>
      <c r="HW2" s="33" t="s">
        <v>77</v>
      </c>
      <c r="HX2" s="33" t="s">
        <v>78</v>
      </c>
      <c r="HY2" s="33" t="s">
        <v>74</v>
      </c>
      <c r="HZ2" s="33" t="s">
        <v>75</v>
      </c>
      <c r="IA2" s="33" t="s">
        <v>76</v>
      </c>
      <c r="IB2" s="33" t="s">
        <v>77</v>
      </c>
      <c r="IC2" s="33" t="s">
        <v>78</v>
      </c>
      <c r="ID2" s="33" t="s">
        <v>74</v>
      </c>
      <c r="IE2" s="33" t="s">
        <v>75</v>
      </c>
      <c r="IF2" s="33" t="s">
        <v>76</v>
      </c>
      <c r="IG2" s="33" t="s">
        <v>77</v>
      </c>
      <c r="IH2" s="33" t="s">
        <v>78</v>
      </c>
      <c r="II2" s="33" t="s">
        <v>74</v>
      </c>
      <c r="IJ2" s="33" t="s">
        <v>75</v>
      </c>
      <c r="IK2" s="33" t="s">
        <v>76</v>
      </c>
      <c r="IL2" s="33" t="s">
        <v>77</v>
      </c>
      <c r="IM2" s="33" t="s">
        <v>78</v>
      </c>
      <c r="IN2" s="33" t="s">
        <v>74</v>
      </c>
      <c r="IO2" s="33" t="s">
        <v>75</v>
      </c>
      <c r="IP2" s="33" t="s">
        <v>76</v>
      </c>
      <c r="IQ2" s="33" t="s">
        <v>77</v>
      </c>
      <c r="IR2" s="33" t="s">
        <v>78</v>
      </c>
      <c r="IS2" s="33" t="s">
        <v>74</v>
      </c>
      <c r="IT2" s="33" t="s">
        <v>75</v>
      </c>
      <c r="IU2" s="33" t="s">
        <v>76</v>
      </c>
      <c r="IV2" s="33" t="s">
        <v>77</v>
      </c>
      <c r="IW2" s="33" t="s">
        <v>78</v>
      </c>
      <c r="IX2" s="33" t="s">
        <v>74</v>
      </c>
      <c r="IY2" s="33" t="s">
        <v>75</v>
      </c>
      <c r="IZ2" s="33" t="s">
        <v>76</v>
      </c>
      <c r="JA2" s="33" t="s">
        <v>77</v>
      </c>
      <c r="JB2" s="33" t="s">
        <v>78</v>
      </c>
      <c r="JC2" s="33" t="s">
        <v>74</v>
      </c>
      <c r="JD2" s="33" t="s">
        <v>75</v>
      </c>
      <c r="JE2" s="33" t="s">
        <v>76</v>
      </c>
      <c r="JF2" s="33" t="s">
        <v>77</v>
      </c>
      <c r="JG2" s="33" t="s">
        <v>78</v>
      </c>
      <c r="JH2" s="33" t="s">
        <v>74</v>
      </c>
      <c r="JI2" s="33" t="s">
        <v>75</v>
      </c>
      <c r="JJ2" s="33" t="s">
        <v>76</v>
      </c>
      <c r="JK2" s="33" t="s">
        <v>77</v>
      </c>
      <c r="JL2" s="33" t="s">
        <v>78</v>
      </c>
      <c r="JM2" s="33" t="s">
        <v>74</v>
      </c>
      <c r="JN2" s="33" t="s">
        <v>75</v>
      </c>
      <c r="JO2" s="33" t="s">
        <v>76</v>
      </c>
      <c r="JP2" s="33" t="s">
        <v>77</v>
      </c>
      <c r="JQ2" s="33" t="s">
        <v>78</v>
      </c>
      <c r="JR2" s="33" t="s">
        <v>74</v>
      </c>
      <c r="JS2" s="33" t="s">
        <v>75</v>
      </c>
      <c r="JT2" s="33" t="s">
        <v>76</v>
      </c>
      <c r="JU2" s="33" t="s">
        <v>77</v>
      </c>
      <c r="JV2" s="33" t="s">
        <v>78</v>
      </c>
      <c r="JW2" s="33" t="s">
        <v>74</v>
      </c>
      <c r="JX2" s="33" t="s">
        <v>75</v>
      </c>
      <c r="JY2" s="33" t="s">
        <v>76</v>
      </c>
      <c r="JZ2" s="33" t="s">
        <v>77</v>
      </c>
      <c r="KA2" s="33" t="s">
        <v>78</v>
      </c>
      <c r="KB2" s="33" t="s">
        <v>74</v>
      </c>
      <c r="KC2" s="33" t="s">
        <v>75</v>
      </c>
      <c r="KD2" s="33" t="s">
        <v>76</v>
      </c>
      <c r="KE2" s="33" t="s">
        <v>77</v>
      </c>
      <c r="KF2" s="33" t="s">
        <v>78</v>
      </c>
      <c r="KG2" s="33" t="s">
        <v>74</v>
      </c>
      <c r="KH2" s="33" t="s">
        <v>75</v>
      </c>
      <c r="KI2" s="33" t="s">
        <v>76</v>
      </c>
      <c r="KJ2" s="33" t="s">
        <v>77</v>
      </c>
      <c r="KK2" s="33" t="s">
        <v>78</v>
      </c>
      <c r="KL2" s="33" t="s">
        <v>74</v>
      </c>
      <c r="KM2" s="33" t="s">
        <v>75</v>
      </c>
      <c r="KN2" s="33" t="s">
        <v>76</v>
      </c>
      <c r="KO2" s="33" t="s">
        <v>77</v>
      </c>
      <c r="KP2" s="33" t="s">
        <v>78</v>
      </c>
      <c r="KQ2" s="33" t="s">
        <v>74</v>
      </c>
      <c r="KR2" s="33" t="s">
        <v>75</v>
      </c>
      <c r="KS2" s="33" t="s">
        <v>76</v>
      </c>
      <c r="KT2" s="33" t="s">
        <v>77</v>
      </c>
      <c r="KU2" s="33" t="s">
        <v>78</v>
      </c>
      <c r="KV2" s="33" t="s">
        <v>74</v>
      </c>
      <c r="KW2" s="33" t="s">
        <v>75</v>
      </c>
      <c r="KX2" s="33" t="s">
        <v>76</v>
      </c>
      <c r="KY2" s="33" t="s">
        <v>77</v>
      </c>
      <c r="KZ2" s="33" t="s">
        <v>78</v>
      </c>
      <c r="LA2" s="33" t="s">
        <v>74</v>
      </c>
      <c r="LB2" s="33" t="s">
        <v>75</v>
      </c>
      <c r="LC2" s="33" t="s">
        <v>76</v>
      </c>
      <c r="LD2" s="33" t="s">
        <v>77</v>
      </c>
      <c r="LE2" s="33" t="s">
        <v>78</v>
      </c>
      <c r="LF2" s="33" t="s">
        <v>74</v>
      </c>
      <c r="LG2" s="33" t="s">
        <v>75</v>
      </c>
      <c r="LH2" s="33" t="s">
        <v>76</v>
      </c>
      <c r="LI2" s="33" t="s">
        <v>77</v>
      </c>
      <c r="LJ2" s="33" t="s">
        <v>78</v>
      </c>
      <c r="LK2" s="33" t="s">
        <v>74</v>
      </c>
      <c r="LL2" s="33" t="s">
        <v>75</v>
      </c>
      <c r="LM2" s="33" t="s">
        <v>76</v>
      </c>
      <c r="LN2" s="33" t="s">
        <v>77</v>
      </c>
      <c r="LO2" s="33" t="s">
        <v>78</v>
      </c>
      <c r="LP2" s="33" t="s">
        <v>74</v>
      </c>
      <c r="LQ2" s="33" t="s">
        <v>75</v>
      </c>
      <c r="LR2" s="33" t="s">
        <v>76</v>
      </c>
      <c r="LS2" s="33" t="s">
        <v>77</v>
      </c>
      <c r="LT2" s="33" t="s">
        <v>78</v>
      </c>
      <c r="LU2" s="33" t="s">
        <v>74</v>
      </c>
      <c r="LV2" s="33" t="s">
        <v>75</v>
      </c>
      <c r="LW2" s="33" t="s">
        <v>76</v>
      </c>
      <c r="LX2" s="33" t="s">
        <v>77</v>
      </c>
      <c r="LY2" s="33" t="s">
        <v>78</v>
      </c>
      <c r="LZ2" s="33" t="s">
        <v>74</v>
      </c>
      <c r="MA2" s="33" t="s">
        <v>75</v>
      </c>
      <c r="MB2" s="33" t="s">
        <v>76</v>
      </c>
      <c r="MC2" s="33" t="s">
        <v>77</v>
      </c>
      <c r="MD2" s="33" t="s">
        <v>78</v>
      </c>
      <c r="ME2" s="33" t="s">
        <v>74</v>
      </c>
      <c r="MF2" s="33" t="s">
        <v>75</v>
      </c>
      <c r="MG2" s="33" t="s">
        <v>76</v>
      </c>
      <c r="MH2" s="33" t="s">
        <v>77</v>
      </c>
      <c r="MI2" s="33" t="s">
        <v>78</v>
      </c>
      <c r="MJ2" s="33" t="s">
        <v>74</v>
      </c>
      <c r="MK2" s="33" t="s">
        <v>75</v>
      </c>
      <c r="ML2" s="33" t="s">
        <v>76</v>
      </c>
      <c r="MM2" s="33" t="s">
        <v>77</v>
      </c>
      <c r="MN2" s="33" t="s">
        <v>78</v>
      </c>
      <c r="MO2" s="33" t="s">
        <v>74</v>
      </c>
      <c r="MP2" s="33" t="s">
        <v>75</v>
      </c>
      <c r="MQ2" s="33" t="s">
        <v>76</v>
      </c>
      <c r="MR2" s="33" t="s">
        <v>77</v>
      </c>
      <c r="MS2" s="33" t="s">
        <v>78</v>
      </c>
      <c r="MT2" s="33" t="s">
        <v>74</v>
      </c>
      <c r="MU2" s="33" t="s">
        <v>75</v>
      </c>
      <c r="MV2" s="33" t="s">
        <v>76</v>
      </c>
      <c r="MW2" s="33" t="s">
        <v>77</v>
      </c>
      <c r="MX2" s="33" t="s">
        <v>78</v>
      </c>
    </row>
    <row r="3" spans="1:363">
      <c r="A3" s="106" t="s">
        <v>79</v>
      </c>
      <c r="B3" s="36" t="s">
        <v>80</v>
      </c>
      <c r="C3" s="37"/>
      <c r="D3" s="37">
        <f>1836.79*0.4</f>
        <v>734.71600000000001</v>
      </c>
      <c r="E3" s="37"/>
      <c r="F3" s="37">
        <f>1836.79*0.6-165.31</f>
        <v>936.7639999999999</v>
      </c>
      <c r="G3" s="37"/>
      <c r="H3" s="37"/>
      <c r="I3" s="37">
        <v>734.72</v>
      </c>
      <c r="J3" s="37"/>
      <c r="K3" s="37">
        <v>998.23</v>
      </c>
      <c r="L3" s="37"/>
      <c r="M3" s="37"/>
      <c r="N3" s="37">
        <v>735.72</v>
      </c>
      <c r="O3" s="37"/>
      <c r="P3" s="37">
        <f>859.61-0.08</f>
        <v>859.53</v>
      </c>
      <c r="Q3" s="37"/>
      <c r="R3" s="37"/>
      <c r="S3" s="37">
        <v>734.72</v>
      </c>
      <c r="T3" s="37"/>
      <c r="U3" s="37">
        <v>818.29</v>
      </c>
      <c r="V3" s="37"/>
      <c r="W3" s="37"/>
      <c r="X3" s="37">
        <v>734.72</v>
      </c>
      <c r="Y3" s="37"/>
      <c r="Z3" s="37">
        <v>1018.19</v>
      </c>
      <c r="AA3" s="37"/>
      <c r="AB3" s="37"/>
      <c r="AC3" s="37">
        <v>734.72</v>
      </c>
      <c r="AD3" s="37"/>
      <c r="AE3" s="37">
        <v>942.33</v>
      </c>
      <c r="AF3" s="37"/>
      <c r="AG3" s="37"/>
      <c r="AH3" s="37">
        <v>734.72</v>
      </c>
      <c r="AI3" s="37"/>
      <c r="AJ3" s="37">
        <v>855.94</v>
      </c>
      <c r="AK3" s="37"/>
      <c r="AL3" s="37"/>
      <c r="AM3" s="37">
        <v>734.72</v>
      </c>
      <c r="AN3" s="37"/>
      <c r="AO3" s="37">
        <v>852.27</v>
      </c>
      <c r="AP3" s="37"/>
      <c r="AQ3" s="37"/>
      <c r="AR3" s="37">
        <v>734.72</v>
      </c>
      <c r="AS3" s="37"/>
      <c r="AT3" s="37">
        <v>866.96</v>
      </c>
      <c r="AU3" s="37"/>
      <c r="AV3" s="37"/>
      <c r="AW3" s="37">
        <v>734.72</v>
      </c>
      <c r="AX3" s="37"/>
      <c r="AY3" s="37">
        <v>855.94</v>
      </c>
      <c r="AZ3" s="37"/>
      <c r="BA3" s="37"/>
      <c r="BB3" s="37">
        <v>734.72</v>
      </c>
      <c r="BC3" s="37"/>
      <c r="BD3" s="37">
        <f>2244.85+918.4+866.96</f>
        <v>4030.21</v>
      </c>
      <c r="BE3" s="37"/>
      <c r="BF3" s="37"/>
      <c r="BG3" s="37">
        <v>979.38</v>
      </c>
      <c r="BH3" s="37">
        <v>827.15</v>
      </c>
      <c r="BI3" s="37">
        <v>110.15</v>
      </c>
      <c r="BJ3" s="37"/>
      <c r="BK3" s="37"/>
      <c r="BL3" s="37">
        <v>752.54</v>
      </c>
      <c r="BM3" s="37"/>
      <c r="BN3" s="37">
        <f>821.48+116.34</f>
        <v>937.82</v>
      </c>
      <c r="BO3" s="37"/>
      <c r="BP3" s="37"/>
      <c r="BQ3" s="37">
        <v>752.54</v>
      </c>
      <c r="BR3" s="37"/>
      <c r="BS3" s="37">
        <v>884.25</v>
      </c>
      <c r="BT3" s="37"/>
      <c r="BU3" s="37"/>
      <c r="BV3" s="37">
        <v>752.54</v>
      </c>
      <c r="BW3" s="37">
        <v>0.02</v>
      </c>
      <c r="BX3" s="37">
        <v>884.25</v>
      </c>
      <c r="BY3" s="37"/>
      <c r="BZ3" s="37"/>
      <c r="CA3" s="37"/>
      <c r="CB3" s="37">
        <v>752.54</v>
      </c>
      <c r="CC3" s="37">
        <v>839.25</v>
      </c>
      <c r="CD3" s="37"/>
      <c r="CE3" s="37"/>
      <c r="CF3" s="37">
        <v>752.54</v>
      </c>
      <c r="CG3" s="37"/>
      <c r="CH3" s="37">
        <v>876.72</v>
      </c>
      <c r="CI3" s="37"/>
      <c r="CJ3" s="37"/>
      <c r="CK3" s="37">
        <v>752.54</v>
      </c>
      <c r="CL3" s="37"/>
      <c r="CM3" s="37">
        <v>888.01</v>
      </c>
      <c r="CN3" s="37"/>
      <c r="CO3" s="37"/>
      <c r="CP3" s="37">
        <v>752.54</v>
      </c>
      <c r="CQ3" s="37">
        <v>800</v>
      </c>
      <c r="CR3" s="37">
        <v>847.96</v>
      </c>
      <c r="CS3" s="37"/>
      <c r="CT3" s="37"/>
      <c r="CU3" s="37">
        <v>752.54</v>
      </c>
      <c r="CV3" s="37"/>
      <c r="CW3" s="37">
        <v>876.72</v>
      </c>
      <c r="CX3" s="37"/>
      <c r="CY3" s="37"/>
      <c r="CZ3" s="37">
        <v>752.54</v>
      </c>
      <c r="DA3" s="37"/>
      <c r="DB3" s="37">
        <v>910.58</v>
      </c>
      <c r="DC3" s="37"/>
      <c r="DD3" s="37">
        <v>22.66</v>
      </c>
      <c r="DE3" s="37">
        <v>752.54</v>
      </c>
      <c r="DF3" s="37"/>
      <c r="DG3" s="37">
        <v>872.96</v>
      </c>
      <c r="DH3" s="37"/>
      <c r="DI3" s="37"/>
      <c r="DJ3" s="37">
        <v>752.54</v>
      </c>
      <c r="DK3" s="37"/>
      <c r="DL3" s="37">
        <f>2323.57+1523.52+941.82+971.54+112.32</f>
        <v>5872.7699999999995</v>
      </c>
      <c r="DM3" s="37"/>
      <c r="DN3" s="37"/>
      <c r="DO3" s="37"/>
      <c r="DP3" s="37">
        <v>796.65</v>
      </c>
      <c r="DQ3" s="37"/>
      <c r="DR3" s="37"/>
      <c r="DS3" s="37"/>
      <c r="DT3" s="37">
        <v>777.23</v>
      </c>
      <c r="DU3" s="37"/>
      <c r="DV3" s="37">
        <v>909.36</v>
      </c>
      <c r="DW3" s="37"/>
      <c r="DX3" s="37"/>
      <c r="DY3" s="37">
        <v>777.23</v>
      </c>
      <c r="DZ3" s="37"/>
      <c r="EA3" s="37">
        <v>917.13</v>
      </c>
      <c r="EB3" s="38"/>
      <c r="EC3" s="37"/>
      <c r="ED3" s="37">
        <v>777.23</v>
      </c>
      <c r="EE3" s="37"/>
      <c r="EF3" s="37">
        <v>880.04</v>
      </c>
      <c r="EG3" s="37"/>
      <c r="EH3" s="39">
        <f>11.41+19.88+12.19+9.7+11.17+11.33+11.82+9.3+11.66+10.42+11+10.61+12.89</f>
        <v>153.38</v>
      </c>
      <c r="EI3" s="37">
        <v>777.23</v>
      </c>
      <c r="EJ3" s="37">
        <f>9.3+11.79</f>
        <v>21.09</v>
      </c>
      <c r="EK3" s="37">
        <v>932.81</v>
      </c>
      <c r="EL3" s="37"/>
      <c r="EM3" s="37"/>
      <c r="EN3" s="37">
        <v>777.23</v>
      </c>
      <c r="EO3" s="37"/>
      <c r="EP3" s="37">
        <v>1006.65</v>
      </c>
      <c r="EQ3" s="37"/>
      <c r="ER3" s="37"/>
      <c r="ES3" s="37">
        <v>777.23</v>
      </c>
      <c r="ET3" s="37"/>
      <c r="EU3" s="37">
        <v>1006.65</v>
      </c>
      <c r="EV3" s="37"/>
      <c r="EW3" s="37"/>
      <c r="EX3" s="37">
        <v>777.23</v>
      </c>
      <c r="EY3" s="37"/>
      <c r="EZ3" s="37">
        <v>1006.65</v>
      </c>
      <c r="FA3" s="37"/>
      <c r="FB3" s="37"/>
      <c r="FC3" s="37">
        <v>777.23</v>
      </c>
      <c r="FD3" s="37"/>
      <c r="FE3" s="37">
        <v>1270.3699999999999</v>
      </c>
      <c r="FF3" s="37"/>
      <c r="FG3" s="37"/>
      <c r="FH3" s="37"/>
      <c r="FI3" s="37">
        <v>900.39</v>
      </c>
      <c r="FJ3" s="37">
        <f>(1270.37-123.16)</f>
        <v>1147.2099999999998</v>
      </c>
      <c r="FK3" s="37"/>
      <c r="FL3" s="37"/>
      <c r="FM3" s="37">
        <v>900.39</v>
      </c>
      <c r="FN3" s="37">
        <v>100</v>
      </c>
      <c r="FO3" s="37">
        <f>(1270.37-123.16)</f>
        <v>1147.2099999999998</v>
      </c>
      <c r="FP3" s="37"/>
      <c r="FQ3" s="37"/>
      <c r="FR3" s="37">
        <v>900.39</v>
      </c>
      <c r="FS3" s="37">
        <v>100</v>
      </c>
      <c r="FT3" s="37">
        <f>2730.19+1201.08+4501+1158.58</f>
        <v>9590.85</v>
      </c>
      <c r="FU3" s="37"/>
      <c r="FV3" s="37"/>
      <c r="FW3" s="37"/>
      <c r="FX3" s="37">
        <f>942.89+100</f>
        <v>1042.8899999999999</v>
      </c>
      <c r="FY3" s="37">
        <v>116.48</v>
      </c>
      <c r="FZ3" s="37"/>
      <c r="GA3" s="37"/>
      <c r="GB3" s="37">
        <v>926.86</v>
      </c>
      <c r="GC3" s="37"/>
      <c r="GD3" s="37">
        <v>1178.52</v>
      </c>
      <c r="GE3" s="37"/>
      <c r="GF3" s="37"/>
      <c r="GG3" s="37">
        <v>926.86</v>
      </c>
      <c r="GH3" s="37"/>
      <c r="GI3" s="37">
        <v>1178.52</v>
      </c>
      <c r="GJ3" s="37"/>
      <c r="GK3" s="37">
        <v>100</v>
      </c>
      <c r="GL3" s="37">
        <f>926.86+100</f>
        <v>1026.8600000000001</v>
      </c>
      <c r="GM3" s="37"/>
      <c r="GN3" s="37">
        <v>1253.52</v>
      </c>
      <c r="GO3" s="37"/>
      <c r="GP3" s="37"/>
      <c r="GQ3" s="37">
        <v>926.86</v>
      </c>
      <c r="GR3" s="37">
        <v>100</v>
      </c>
      <c r="GS3" s="37"/>
      <c r="GT3" s="37">
        <v>2747.87</v>
      </c>
      <c r="GU3" s="37"/>
      <c r="GV3" s="37">
        <v>926.86</v>
      </c>
      <c r="GW3" s="37"/>
      <c r="GX3" s="37">
        <v>1178.52</v>
      </c>
      <c r="GY3" s="37"/>
      <c r="GZ3" s="37"/>
      <c r="HA3" s="37"/>
      <c r="HB3" s="37">
        <v>926.86</v>
      </c>
      <c r="HC3" s="37">
        <v>1178.52</v>
      </c>
      <c r="HD3" s="37"/>
      <c r="HE3" s="37"/>
      <c r="HF3" s="37">
        <v>926.86</v>
      </c>
      <c r="HG3" s="37">
        <v>94.2</v>
      </c>
      <c r="HH3" s="37">
        <v>1178.52</v>
      </c>
      <c r="HI3" s="37"/>
      <c r="HJ3" s="37"/>
      <c r="HK3" s="37">
        <v>926.86</v>
      </c>
      <c r="HL3" s="37">
        <v>99.91</v>
      </c>
      <c r="HM3" s="37">
        <v>3791.33</v>
      </c>
      <c r="HN3" s="37"/>
      <c r="HO3" s="37"/>
      <c r="HP3" s="37">
        <v>2400</v>
      </c>
      <c r="HQ3" s="37">
        <v>100</v>
      </c>
      <c r="HR3" s="37">
        <v>2318.19</v>
      </c>
      <c r="HS3" s="37"/>
      <c r="HT3" s="37"/>
      <c r="HU3" s="37">
        <v>2400</v>
      </c>
      <c r="HV3" s="37">
        <v>100</v>
      </c>
      <c r="HW3" s="37">
        <v>2727.45</v>
      </c>
      <c r="HX3" s="37"/>
      <c r="HY3" s="37"/>
      <c r="HZ3" s="37">
        <v>2650.08</v>
      </c>
      <c r="IA3" s="37">
        <v>74.73</v>
      </c>
      <c r="IB3" s="37">
        <f>7057.29+1617.92+564.5+3312.6+5007.04</f>
        <v>17559.349999999999</v>
      </c>
      <c r="IC3" s="37"/>
      <c r="ID3" s="37"/>
      <c r="IE3" s="37"/>
      <c r="IF3" s="37">
        <v>2061.41</v>
      </c>
      <c r="IG3" s="37"/>
      <c r="IH3" s="37"/>
      <c r="II3" s="37">
        <v>100</v>
      </c>
      <c r="IJ3" s="37">
        <v>2650.08</v>
      </c>
      <c r="IK3" s="37"/>
      <c r="IL3" s="37">
        <v>1143.83</v>
      </c>
      <c r="IM3" s="37"/>
      <c r="IN3" s="37"/>
      <c r="IO3" s="37"/>
      <c r="IP3" s="37">
        <v>2650.08</v>
      </c>
      <c r="IQ3" s="37">
        <v>1806.35</v>
      </c>
      <c r="IR3" s="37"/>
      <c r="IS3" s="37"/>
      <c r="IT3" s="37"/>
      <c r="IU3" s="37">
        <v>2650.08</v>
      </c>
      <c r="IV3" s="37">
        <v>1806.35</v>
      </c>
      <c r="IW3" s="37"/>
      <c r="IX3" s="37"/>
      <c r="IY3" s="37">
        <v>2650.08</v>
      </c>
      <c r="IZ3" s="37"/>
      <c r="JA3" s="37">
        <v>1806.35</v>
      </c>
      <c r="JB3" s="37"/>
      <c r="JC3" s="37"/>
      <c r="JD3" s="37">
        <v>8577.9599999999991</v>
      </c>
      <c r="JE3" s="37"/>
      <c r="JF3" s="37"/>
      <c r="JG3" s="37"/>
      <c r="JH3" s="37"/>
      <c r="JI3" s="37"/>
      <c r="JJ3" s="37"/>
      <c r="JK3" s="37">
        <v>4000</v>
      </c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>
        <v>400</v>
      </c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</row>
    <row r="4" spans="1:363">
      <c r="A4" s="106"/>
      <c r="B4" s="36" t="s">
        <v>81</v>
      </c>
      <c r="C4" s="37"/>
      <c r="D4" s="37">
        <v>800</v>
      </c>
      <c r="E4" s="37"/>
      <c r="F4" s="37"/>
      <c r="G4" s="37"/>
      <c r="H4" s="37"/>
      <c r="I4" s="37"/>
      <c r="J4" s="37"/>
      <c r="K4" s="37">
        <v>1200</v>
      </c>
      <c r="L4" s="37"/>
      <c r="M4" s="37"/>
      <c r="N4" s="37"/>
      <c r="O4" s="37"/>
      <c r="P4" s="37"/>
      <c r="Q4" s="37"/>
      <c r="R4" s="37">
        <v>1200</v>
      </c>
      <c r="S4" s="37"/>
      <c r="T4" s="37"/>
      <c r="U4" s="37"/>
      <c r="V4" s="37"/>
      <c r="W4" s="37"/>
      <c r="X4" s="37">
        <v>1600</v>
      </c>
      <c r="Y4" s="37"/>
      <c r="Z4" s="37"/>
      <c r="AA4" s="37"/>
      <c r="AB4" s="37"/>
      <c r="AC4" s="37">
        <v>800</v>
      </c>
      <c r="AD4" s="37"/>
      <c r="AE4" s="37"/>
      <c r="AF4" s="37"/>
      <c r="AG4" s="37"/>
      <c r="AH4" s="37"/>
      <c r="AI4" s="37">
        <v>1400</v>
      </c>
      <c r="AJ4" s="37"/>
      <c r="AK4" s="37"/>
      <c r="AL4" s="37"/>
      <c r="AM4" s="37">
        <v>1700</v>
      </c>
      <c r="AN4" s="37"/>
      <c r="AO4" s="37"/>
      <c r="AP4" s="37"/>
      <c r="AQ4" s="37"/>
      <c r="AR4" s="37"/>
      <c r="AS4" s="37">
        <v>1700</v>
      </c>
      <c r="AT4" s="37"/>
      <c r="AU4" s="37"/>
      <c r="AV4" s="37"/>
      <c r="AW4" s="37"/>
      <c r="AX4" s="37"/>
      <c r="AY4" s="37">
        <v>700</v>
      </c>
      <c r="AZ4" s="37"/>
      <c r="BA4" s="37"/>
      <c r="BB4" s="37"/>
      <c r="BC4" s="37"/>
      <c r="BD4" s="37">
        <v>1700</v>
      </c>
      <c r="BE4" s="37"/>
      <c r="BF4" s="37"/>
      <c r="BG4" s="37"/>
      <c r="BH4" s="37"/>
      <c r="BI4" s="37"/>
      <c r="BJ4" s="37"/>
      <c r="BK4" s="37"/>
      <c r="BL4" s="37">
        <v>500</v>
      </c>
      <c r="BM4" s="37"/>
      <c r="BN4" s="37"/>
      <c r="BO4" s="37"/>
      <c r="BP4" s="37"/>
      <c r="BQ4" s="37">
        <v>1500</v>
      </c>
      <c r="BR4" s="37"/>
      <c r="BS4" s="37"/>
      <c r="BT4" s="37"/>
      <c r="BU4" s="37"/>
      <c r="BV4" s="37"/>
      <c r="BW4" s="37"/>
      <c r="BX4" s="37">
        <v>800</v>
      </c>
      <c r="BY4" s="37"/>
      <c r="BZ4" s="37"/>
      <c r="CA4" s="37">
        <v>800</v>
      </c>
      <c r="CB4" s="37"/>
      <c r="CC4" s="37"/>
      <c r="CD4" s="37"/>
      <c r="CE4" s="37"/>
      <c r="CF4" s="37">
        <v>1000</v>
      </c>
      <c r="CG4" s="37"/>
      <c r="CH4" s="37"/>
      <c r="CI4" s="37"/>
      <c r="CJ4" s="37"/>
      <c r="CK4" s="37">
        <v>1000</v>
      </c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>
        <v>1000</v>
      </c>
      <c r="CW4" s="37"/>
      <c r="CX4" s="37"/>
      <c r="CY4" s="37"/>
      <c r="CZ4" s="37">
        <v>1000</v>
      </c>
      <c r="DA4" s="37"/>
      <c r="DB4" s="37"/>
      <c r="DC4" s="37"/>
      <c r="DD4" s="37"/>
      <c r="DE4" s="37"/>
      <c r="DF4" s="37"/>
      <c r="DG4" s="37">
        <v>1000</v>
      </c>
      <c r="DH4" s="37"/>
      <c r="DI4" s="37">
        <v>1000</v>
      </c>
      <c r="DJ4" s="37"/>
      <c r="DK4" s="37"/>
      <c r="DL4" s="37"/>
      <c r="DM4" s="37"/>
      <c r="DN4" s="37">
        <v>1000</v>
      </c>
      <c r="DO4" s="37"/>
      <c r="DP4" s="37"/>
      <c r="DQ4" s="37"/>
      <c r="DR4" s="37"/>
      <c r="DS4" s="37"/>
      <c r="DT4" s="37">
        <v>1000</v>
      </c>
      <c r="DU4" s="37"/>
      <c r="DV4" s="37"/>
      <c r="DW4" s="37"/>
      <c r="DX4" s="37"/>
      <c r="DY4" s="37"/>
      <c r="DZ4" s="37">
        <v>1500</v>
      </c>
      <c r="EA4" s="37"/>
      <c r="EB4" s="38"/>
      <c r="EC4" s="37"/>
      <c r="ED4" s="37"/>
      <c r="EE4" s="37"/>
      <c r="EF4" s="37">
        <v>1500</v>
      </c>
      <c r="EG4" s="37"/>
      <c r="EH4" s="39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>
        <v>1150</v>
      </c>
      <c r="ET4" s="37"/>
      <c r="EU4" s="37"/>
      <c r="EV4" s="37"/>
      <c r="EW4" s="37">
        <v>1150</v>
      </c>
      <c r="EX4" s="37"/>
      <c r="EY4" s="37"/>
      <c r="EZ4" s="37"/>
      <c r="FA4" s="37"/>
      <c r="FB4" s="37">
        <v>2000</v>
      </c>
      <c r="FC4" s="37"/>
      <c r="FD4" s="37"/>
      <c r="FE4" s="37"/>
      <c r="FF4" s="37"/>
      <c r="FG4" s="37">
        <v>2000</v>
      </c>
      <c r="FH4" s="37"/>
      <c r="FI4" s="37"/>
      <c r="FJ4" s="37"/>
      <c r="FK4" s="37"/>
      <c r="FL4" s="37">
        <v>2000</v>
      </c>
      <c r="FM4" s="37"/>
      <c r="FN4" s="37"/>
      <c r="FO4" s="37"/>
      <c r="FP4" s="37"/>
      <c r="FQ4" s="37">
        <v>2000</v>
      </c>
      <c r="FR4" s="37"/>
      <c r="FS4" s="37"/>
      <c r="FT4" s="37"/>
      <c r="FU4" s="37"/>
      <c r="FV4" s="37">
        <v>2000</v>
      </c>
      <c r="FW4" s="37"/>
      <c r="FX4" s="37"/>
      <c r="FY4" s="37"/>
      <c r="FZ4" s="37"/>
      <c r="GA4" s="37">
        <v>2000</v>
      </c>
      <c r="GB4" s="37"/>
      <c r="GC4" s="37"/>
      <c r="GD4" s="37"/>
      <c r="GE4" s="37"/>
      <c r="GF4" s="37">
        <v>2000</v>
      </c>
      <c r="GG4" s="37"/>
      <c r="GH4" s="37"/>
      <c r="GI4" s="37"/>
      <c r="GJ4" s="37"/>
      <c r="GK4" s="37">
        <v>2000</v>
      </c>
      <c r="GL4" s="37"/>
      <c r="GM4" s="37"/>
      <c r="GN4" s="37"/>
      <c r="GO4" s="37"/>
      <c r="GP4" s="37">
        <v>2000</v>
      </c>
      <c r="GQ4" s="37"/>
      <c r="GR4" s="37"/>
      <c r="GS4" s="37"/>
      <c r="GT4" s="37"/>
      <c r="GU4" s="37">
        <v>2000</v>
      </c>
      <c r="GV4" s="37"/>
      <c r="GW4" s="37"/>
      <c r="GX4" s="37"/>
      <c r="GY4" s="37"/>
      <c r="GZ4" s="37">
        <v>2000</v>
      </c>
      <c r="HA4" s="37"/>
      <c r="HB4" s="37"/>
      <c r="HC4" s="37"/>
      <c r="HD4" s="37"/>
      <c r="HE4" s="37">
        <v>2000</v>
      </c>
      <c r="HF4" s="37"/>
      <c r="HG4" s="37"/>
      <c r="HH4" s="37"/>
      <c r="HI4" s="37"/>
      <c r="HJ4" s="37">
        <v>2000</v>
      </c>
      <c r="HK4" s="37"/>
      <c r="HL4" s="37"/>
      <c r="HM4" s="37"/>
      <c r="HN4" s="37"/>
      <c r="HO4" s="37">
        <v>2000</v>
      </c>
      <c r="HP4" s="37"/>
      <c r="HQ4" s="37"/>
      <c r="HR4" s="37"/>
      <c r="HS4" s="37"/>
      <c r="HT4" s="37">
        <v>2500</v>
      </c>
      <c r="HU4" s="37"/>
      <c r="HV4" s="37"/>
      <c r="HW4" s="37"/>
      <c r="HX4" s="37"/>
      <c r="HY4" s="37">
        <v>2000</v>
      </c>
      <c r="HZ4" s="37"/>
      <c r="IA4" s="37"/>
      <c r="IB4" s="37"/>
      <c r="IC4" s="37"/>
      <c r="ID4" s="37">
        <v>2000</v>
      </c>
      <c r="IE4" s="37"/>
      <c r="IF4" s="37"/>
      <c r="IG4" s="37"/>
      <c r="IH4" s="37"/>
      <c r="II4" s="37">
        <v>3000</v>
      </c>
      <c r="IJ4" s="37"/>
      <c r="IK4" s="37"/>
      <c r="IL4" s="37"/>
      <c r="IM4" s="37"/>
      <c r="IN4" s="37">
        <v>2000</v>
      </c>
      <c r="IO4" s="37"/>
      <c r="IP4" s="37"/>
      <c r="IQ4" s="37"/>
      <c r="IR4" s="37"/>
      <c r="IS4" s="37">
        <v>2000</v>
      </c>
      <c r="IT4" s="37"/>
      <c r="IU4" s="37"/>
      <c r="IV4" s="37"/>
      <c r="IW4" s="37"/>
      <c r="IX4" s="37">
        <v>3000</v>
      </c>
      <c r="IY4" s="37"/>
      <c r="IZ4" s="37"/>
      <c r="JA4" s="37"/>
      <c r="JB4" s="37"/>
      <c r="JC4" s="37">
        <v>7000</v>
      </c>
      <c r="JD4" s="37"/>
      <c r="JE4" s="37"/>
      <c r="JF4" s="37"/>
      <c r="JG4" s="37"/>
      <c r="JH4" s="37">
        <v>7000</v>
      </c>
      <c r="JI4" s="37"/>
      <c r="JJ4" s="37"/>
      <c r="JK4" s="37"/>
      <c r="JL4" s="37"/>
      <c r="JM4" s="37">
        <v>20000</v>
      </c>
      <c r="JN4" s="37"/>
      <c r="JO4" s="37"/>
      <c r="JP4" s="37"/>
      <c r="JQ4" s="37"/>
      <c r="JR4" s="37">
        <v>7000</v>
      </c>
      <c r="JS4" s="37"/>
      <c r="JT4" s="37"/>
      <c r="JU4" s="37"/>
      <c r="JV4" s="37"/>
      <c r="JW4" s="37">
        <f>7000</f>
        <v>7000</v>
      </c>
      <c r="JX4" s="37"/>
      <c r="JY4" s="37"/>
      <c r="JZ4" s="37"/>
      <c r="KA4" s="37"/>
      <c r="KB4" s="37">
        <v>7000</v>
      </c>
      <c r="KC4" s="37"/>
      <c r="KD4" s="37"/>
      <c r="KE4" s="37"/>
      <c r="KF4" s="37"/>
      <c r="KG4" s="37">
        <v>7000</v>
      </c>
      <c r="KH4" s="37"/>
      <c r="KI4" s="37"/>
      <c r="KJ4" s="37"/>
      <c r="KK4" s="37"/>
      <c r="KL4" s="37">
        <v>7000</v>
      </c>
      <c r="KM4" s="37"/>
      <c r="KN4" s="37"/>
      <c r="KO4" s="37"/>
      <c r="KP4" s="37"/>
      <c r="KQ4" s="37">
        <v>40000</v>
      </c>
      <c r="KR4" s="37"/>
      <c r="KS4" s="37"/>
      <c r="KT4" s="37"/>
      <c r="KU4" s="37"/>
      <c r="KV4" s="37">
        <v>7500</v>
      </c>
      <c r="KW4" s="37"/>
      <c r="KX4" s="37"/>
      <c r="KY4" s="37"/>
      <c r="KZ4" s="37"/>
      <c r="LA4" s="37">
        <v>7500</v>
      </c>
      <c r="LB4" s="37"/>
      <c r="LC4" s="37"/>
      <c r="LD4" s="37"/>
      <c r="LE4" s="37"/>
      <c r="LF4" s="37">
        <v>7500</v>
      </c>
      <c r="LG4" s="37"/>
      <c r="LH4" s="37"/>
      <c r="LI4" s="37"/>
      <c r="LJ4" s="37"/>
      <c r="LK4" s="37">
        <v>7500</v>
      </c>
      <c r="LL4" s="37"/>
      <c r="LM4" s="37"/>
      <c r="LN4" s="37"/>
      <c r="LO4" s="37"/>
      <c r="LP4" s="37">
        <v>7500</v>
      </c>
      <c r="LQ4" s="37"/>
      <c r="LR4" s="37"/>
      <c r="LS4" s="37"/>
      <c r="LT4" s="37"/>
      <c r="LU4" s="37">
        <v>7500</v>
      </c>
      <c r="LV4" s="37"/>
      <c r="LW4" s="37"/>
      <c r="LX4" s="37"/>
      <c r="LY4" s="37"/>
      <c r="LZ4" s="37">
        <v>7500</v>
      </c>
      <c r="MA4" s="37"/>
      <c r="MB4" s="37"/>
      <c r="MC4" s="37"/>
      <c r="MD4" s="37"/>
      <c r="ME4" s="37">
        <v>7500</v>
      </c>
      <c r="MF4" s="37"/>
      <c r="MG4" s="37"/>
      <c r="MH4" s="37"/>
      <c r="MI4" s="37"/>
      <c r="MJ4" s="37">
        <v>7500</v>
      </c>
      <c r="MK4" s="37"/>
      <c r="ML4" s="37"/>
      <c r="MM4" s="37"/>
      <c r="MN4" s="37"/>
      <c r="MO4" s="37">
        <v>7500</v>
      </c>
      <c r="MP4" s="37"/>
      <c r="MQ4" s="37"/>
      <c r="MR4" s="37"/>
      <c r="MS4" s="37"/>
      <c r="MT4" s="37">
        <v>7500</v>
      </c>
      <c r="MU4" s="37"/>
      <c r="MV4" s="37"/>
      <c r="MW4" s="37"/>
      <c r="MX4" s="37"/>
    </row>
    <row r="5" spans="1:363"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1"/>
      <c r="ED5" s="40"/>
      <c r="EE5" s="40"/>
      <c r="EF5" s="40"/>
      <c r="EG5" s="40"/>
      <c r="EH5" s="41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  <c r="MS5" s="40"/>
      <c r="MT5" s="40"/>
      <c r="MU5" s="40"/>
      <c r="MV5" s="40"/>
      <c r="MW5" s="40"/>
      <c r="MX5" s="40"/>
    </row>
    <row r="6" spans="1:363">
      <c r="A6" s="107" t="s">
        <v>82</v>
      </c>
      <c r="B6" s="42" t="s">
        <v>83</v>
      </c>
      <c r="C6" s="43">
        <v>200</v>
      </c>
      <c r="D6" s="43"/>
      <c r="E6" s="43">
        <f>300</f>
        <v>300</v>
      </c>
      <c r="F6" s="43"/>
      <c r="G6" s="43"/>
      <c r="H6" s="43"/>
      <c r="I6" s="43"/>
      <c r="J6" s="43"/>
      <c r="K6" s="43"/>
      <c r="L6" s="43"/>
      <c r="M6" s="43">
        <v>150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>
        <v>30</v>
      </c>
      <c r="AC6" s="43"/>
      <c r="AD6" s="43">
        <f>67+50</f>
        <v>117</v>
      </c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>
        <f>4+4.6+8.8</f>
        <v>17.399999999999999</v>
      </c>
      <c r="BX6" s="43"/>
      <c r="BY6" s="43"/>
      <c r="BZ6" s="43"/>
      <c r="CA6" s="43">
        <f>51.5</f>
        <v>51.5</v>
      </c>
      <c r="CB6" s="43">
        <v>17.8</v>
      </c>
      <c r="CC6" s="43">
        <f>12+8.25</f>
        <v>20.25</v>
      </c>
      <c r="CD6" s="43"/>
      <c r="CE6" s="43"/>
      <c r="CF6" s="43"/>
      <c r="CG6" s="43"/>
      <c r="CH6" s="43"/>
      <c r="CI6" s="43"/>
      <c r="CJ6" s="43"/>
      <c r="CK6" s="43"/>
      <c r="CL6" s="43">
        <f>70-4.5+5-8.15</f>
        <v>62.35</v>
      </c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4"/>
      <c r="EC6" s="43"/>
      <c r="ED6" s="43"/>
      <c r="EE6" s="43"/>
      <c r="EF6" s="43"/>
      <c r="EG6" s="43"/>
      <c r="EH6" s="45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>
        <v>29.9</v>
      </c>
      <c r="FL6" s="43"/>
      <c r="FM6" s="43"/>
      <c r="FN6" s="43"/>
      <c r="FO6" s="43"/>
      <c r="FP6" s="43">
        <v>29.9</v>
      </c>
      <c r="FQ6" s="43"/>
      <c r="FR6" s="43"/>
      <c r="FS6" s="43"/>
      <c r="FT6" s="43"/>
      <c r="FU6" s="43">
        <v>29.9</v>
      </c>
      <c r="FV6" s="43"/>
      <c r="FW6" s="43"/>
      <c r="FX6" s="43"/>
      <c r="FY6" s="43"/>
      <c r="FZ6" s="43">
        <v>29.9</v>
      </c>
      <c r="GA6" s="43"/>
      <c r="GB6" s="43"/>
      <c r="GC6" s="43"/>
      <c r="GD6" s="43"/>
      <c r="GE6" s="43"/>
      <c r="GF6" s="43"/>
      <c r="GG6" s="43"/>
      <c r="GH6" s="43"/>
      <c r="GI6" s="43"/>
      <c r="GJ6" s="43">
        <v>3.9</v>
      </c>
      <c r="GK6" s="43"/>
      <c r="GL6" s="43"/>
      <c r="GM6" s="43"/>
      <c r="GN6" s="43"/>
      <c r="GO6" s="43">
        <f>29.9*2</f>
        <v>59.8</v>
      </c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  <c r="IW6" s="43"/>
      <c r="IX6" s="43"/>
      <c r="IY6" s="43"/>
      <c r="IZ6" s="43"/>
      <c r="JA6" s="43"/>
      <c r="JB6" s="43"/>
      <c r="JC6" s="43"/>
      <c r="JD6" s="43"/>
      <c r="JE6" s="43"/>
      <c r="JF6" s="43"/>
      <c r="JG6" s="43"/>
      <c r="JH6" s="43"/>
      <c r="JI6" s="43"/>
      <c r="JJ6" s="43"/>
      <c r="JK6" s="43"/>
      <c r="JL6" s="43"/>
      <c r="JM6" s="43"/>
      <c r="JN6" s="43"/>
      <c r="JO6" s="43"/>
      <c r="JP6" s="43"/>
      <c r="JQ6" s="43"/>
      <c r="JR6" s="43"/>
      <c r="JS6" s="43"/>
      <c r="JT6" s="43"/>
      <c r="JU6" s="43"/>
      <c r="JV6" s="43"/>
      <c r="JW6" s="43"/>
      <c r="JX6" s="43"/>
      <c r="JY6" s="43"/>
      <c r="JZ6" s="43"/>
      <c r="KA6" s="43"/>
      <c r="KB6" s="43"/>
      <c r="KC6" s="43"/>
      <c r="KD6" s="43"/>
      <c r="KE6" s="43"/>
      <c r="KF6" s="43"/>
      <c r="KG6" s="43"/>
      <c r="KH6" s="43"/>
      <c r="KI6" s="43"/>
      <c r="KJ6" s="43"/>
      <c r="KK6" s="43"/>
      <c r="KL6" s="43"/>
      <c r="KM6" s="43"/>
      <c r="KN6" s="43"/>
      <c r="KO6" s="43"/>
      <c r="KP6" s="43"/>
      <c r="KQ6" s="43"/>
      <c r="KR6" s="43"/>
      <c r="KS6" s="43"/>
      <c r="KT6" s="43"/>
      <c r="KU6" s="43"/>
      <c r="KV6" s="43"/>
      <c r="KW6" s="43"/>
      <c r="KX6" s="43"/>
      <c r="KY6" s="43"/>
      <c r="KZ6" s="43"/>
      <c r="LA6" s="43"/>
      <c r="LB6" s="43"/>
      <c r="LC6" s="43"/>
      <c r="LD6" s="43"/>
      <c r="LE6" s="43"/>
      <c r="LF6" s="43"/>
      <c r="LG6" s="43"/>
      <c r="LH6" s="43"/>
      <c r="LI6" s="43"/>
      <c r="LJ6" s="43"/>
      <c r="LK6" s="43"/>
      <c r="LL6" s="43"/>
      <c r="LM6" s="43"/>
      <c r="LN6" s="43"/>
      <c r="LO6" s="43"/>
      <c r="LP6" s="43"/>
      <c r="LQ6" s="43"/>
      <c r="LR6" s="43"/>
      <c r="LS6" s="43"/>
      <c r="LT6" s="43"/>
      <c r="LU6" s="43"/>
      <c r="LV6" s="43"/>
      <c r="LW6" s="43"/>
      <c r="LX6" s="43"/>
      <c r="LY6" s="43"/>
      <c r="LZ6" s="43"/>
      <c r="MA6" s="43"/>
      <c r="MB6" s="43"/>
      <c r="MC6" s="43"/>
      <c r="MD6" s="43"/>
      <c r="ME6" s="43"/>
      <c r="MF6" s="43"/>
      <c r="MG6" s="43"/>
      <c r="MH6" s="43"/>
      <c r="MI6" s="43"/>
      <c r="MJ6" s="43"/>
      <c r="MK6" s="43"/>
      <c r="ML6" s="43"/>
      <c r="MM6" s="43"/>
      <c r="MN6" s="43"/>
      <c r="MO6" s="43"/>
      <c r="MP6" s="43"/>
      <c r="MQ6" s="43"/>
      <c r="MR6" s="43"/>
      <c r="MS6" s="43"/>
      <c r="MT6" s="43"/>
      <c r="MU6" s="43"/>
      <c r="MV6" s="43"/>
      <c r="MW6" s="43"/>
      <c r="MX6" s="43"/>
    </row>
    <row r="7" spans="1:363">
      <c r="A7" s="107"/>
      <c r="B7" s="42" t="s">
        <v>84</v>
      </c>
      <c r="C7" s="43"/>
      <c r="D7" s="43">
        <f>7.75+12.52+7.75+8.28+7.93</f>
        <v>44.23</v>
      </c>
      <c r="E7" s="43">
        <f>7+7.75+8.96</f>
        <v>23.71</v>
      </c>
      <c r="F7" s="43"/>
      <c r="G7" s="43"/>
      <c r="H7" s="43">
        <f>7.75+9.15+8.43+8.21+7.75+7.75</f>
        <v>49.04</v>
      </c>
      <c r="I7" s="43">
        <f>7.75+8.4+10.48+10.3</f>
        <v>36.93</v>
      </c>
      <c r="J7" s="43">
        <f>11.94+8.37</f>
        <v>20.309999999999999</v>
      </c>
      <c r="K7" s="43">
        <f>8.97+9.43</f>
        <v>18.399999999999999</v>
      </c>
      <c r="L7" s="43"/>
      <c r="M7" s="43">
        <f>10.14+13.36+8.24+13.08</f>
        <v>44.82</v>
      </c>
      <c r="N7" s="43">
        <f>7.75+8.13+13.58+8.55</f>
        <v>38.010000000000005</v>
      </c>
      <c r="O7" s="43">
        <f>8.42</f>
        <v>8.42</v>
      </c>
      <c r="P7" s="43">
        <f>8.75+7.75+7.75</f>
        <v>24.25</v>
      </c>
      <c r="Q7" s="43"/>
      <c r="R7" s="43">
        <f>8.54+9.73+7.75+12.26+8.07+7.75</f>
        <v>54.1</v>
      </c>
      <c r="S7" s="43">
        <f>7.75*3+8.3+8.23+7.75</f>
        <v>47.53</v>
      </c>
      <c r="T7" s="43">
        <f>7.75*2</f>
        <v>15.5</v>
      </c>
      <c r="U7" s="43">
        <f>8.55+7.75</f>
        <v>16.3</v>
      </c>
      <c r="V7" s="43"/>
      <c r="W7" s="43">
        <f>7.75*5</f>
        <v>38.75</v>
      </c>
      <c r="X7" s="43">
        <f>7.75*4+17+16.31+8.95</f>
        <v>73.260000000000005</v>
      </c>
      <c r="Y7" s="43">
        <f>5*7.75</f>
        <v>38.75</v>
      </c>
      <c r="Z7" s="43">
        <f>7.75*3</f>
        <v>23.25</v>
      </c>
      <c r="AA7" s="43"/>
      <c r="AB7" s="43">
        <f>8.7+8.86+10.07+7.25+7.75+7.75+7.75+7.75+7</f>
        <v>72.88</v>
      </c>
      <c r="AC7" s="43">
        <f>7.75+11.98+7.75</f>
        <v>27.48</v>
      </c>
      <c r="AD7" s="43">
        <f>7.75+9.03</f>
        <v>16.78</v>
      </c>
      <c r="AE7" s="43">
        <v>7.75</v>
      </c>
      <c r="AF7" s="43"/>
      <c r="AG7" s="43"/>
      <c r="AH7" s="43">
        <f>14.3+7.75+18.69+16.96+7.75+7.75+7.75</f>
        <v>80.95</v>
      </c>
      <c r="AI7" s="43">
        <v>7.75</v>
      </c>
      <c r="AJ7" s="43">
        <f>10.23+7.79+10.49+14.64+8.62+7.75+7.75</f>
        <v>67.27</v>
      </c>
      <c r="AK7" s="43"/>
      <c r="AL7" s="43">
        <f>7.75+23.35+10.01+11.95+10.03+15.23+10.55</f>
        <v>88.87</v>
      </c>
      <c r="AM7" s="43">
        <f>9.97+88.62</f>
        <v>98.59</v>
      </c>
      <c r="AN7" s="43">
        <f>24.81+9.97+8.95+7.75</f>
        <v>51.480000000000004</v>
      </c>
      <c r="AO7" s="43">
        <v>19.73</v>
      </c>
      <c r="AP7" s="43"/>
      <c r="AQ7" s="43">
        <f>7.75+12.55+7.75+7.75+11.84</f>
        <v>47.64</v>
      </c>
      <c r="AR7" s="43">
        <f>24.97+29.38+8.25+8.25</f>
        <v>70.849999999999994</v>
      </c>
      <c r="AS7" s="43">
        <f>24.17+27.88+7.75+8</f>
        <v>67.8</v>
      </c>
      <c r="AT7" s="43">
        <f>10.36+7.75</f>
        <v>18.11</v>
      </c>
      <c r="AU7" s="43"/>
      <c r="AV7" s="43">
        <f>7.75+7.81+14.5</f>
        <v>30.06</v>
      </c>
      <c r="AW7" s="43">
        <f>7.75+9.9+7.75</f>
        <v>25.4</v>
      </c>
      <c r="AX7" s="43">
        <f>11.35+8.42+7.73+7.5+50</f>
        <v>85</v>
      </c>
      <c r="AY7" s="43">
        <f>5.6+5.5+7.5+7.75+14.95+6.8+6.1+5.94+12.7</f>
        <v>72.839999999999989</v>
      </c>
      <c r="AZ7" s="43"/>
      <c r="BA7" s="43">
        <f>7.2+6.82+12.2+7.5+7.5</f>
        <v>41.22</v>
      </c>
      <c r="BB7" s="43">
        <f>5.25+6+6+18.16+9</f>
        <v>44.41</v>
      </c>
      <c r="BC7" s="43">
        <f>7.26+6.37+5.62+22.8</f>
        <v>42.05</v>
      </c>
      <c r="BD7" s="43">
        <f>7.5+9.8+8.59+7.5+6.37+9.8</f>
        <v>49.56</v>
      </c>
      <c r="BE7" s="43"/>
      <c r="BF7" s="43"/>
      <c r="BG7" s="43">
        <f>7.5+9.8+19.46+7.5+7.5</f>
        <v>51.760000000000005</v>
      </c>
      <c r="BH7" s="43">
        <f>13.5+12.8+7.5+7.6</f>
        <v>41.4</v>
      </c>
      <c r="BI7" s="43">
        <f>9.3+7.5+8.06+15.42</f>
        <v>40.28</v>
      </c>
      <c r="BJ7" s="43">
        <f>9.8+11.3+10.9</f>
        <v>32</v>
      </c>
      <c r="BK7" s="43">
        <f>7.5+13.46+15+18.26</f>
        <v>54.22</v>
      </c>
      <c r="BL7" s="43"/>
      <c r="BM7" s="43"/>
      <c r="BN7" s="43"/>
      <c r="BO7" s="43">
        <f>7.5+7.5+6.38</f>
        <v>21.38</v>
      </c>
      <c r="BP7" s="43"/>
      <c r="BQ7" s="43">
        <v>3.88</v>
      </c>
      <c r="BR7" s="43">
        <v>13.1</v>
      </c>
      <c r="BS7" s="43">
        <f>7.75+7.5</f>
        <v>15.25</v>
      </c>
      <c r="BT7" s="43">
        <f>7.5+7.5+23.29+8</f>
        <v>46.29</v>
      </c>
      <c r="BU7" s="43"/>
      <c r="BV7" s="43">
        <f>7.69+6.21</f>
        <v>13.9</v>
      </c>
      <c r="BW7" s="43">
        <f>6.21+6.9+6</f>
        <v>19.11</v>
      </c>
      <c r="BX7" s="43"/>
      <c r="BY7" s="43">
        <f>7.5+7.5+9.8+8.3+8+7.8+7.5+7.5+6.37+12.61+6.22+6.21+6.8+9.67+6.21+12.7+7.3</f>
        <v>137.98999999999998</v>
      </c>
      <c r="BZ7" s="43">
        <f>9.8+7.5+6+7.3+8.4</f>
        <v>39</v>
      </c>
      <c r="CA7" s="43">
        <f>5.5+13.1</f>
        <v>18.600000000000001</v>
      </c>
      <c r="CB7" s="43"/>
      <c r="CC7" s="43"/>
      <c r="CD7" s="43">
        <f>10.8+6.21+7.3+7.28+9.6+13.2+13.1+8.74+7.49+6.37+8.4+8.81+7.5+7.5+20.3</f>
        <v>142.6</v>
      </c>
      <c r="CE7" s="43"/>
      <c r="CF7" s="43"/>
      <c r="CG7" s="43"/>
      <c r="CH7" s="43"/>
      <c r="CI7" s="43">
        <f>7.5+7.5+5.27+8.92+7.1+7.29+11.73+6.2+6.2+13.5+6.2+5.35+6.2+8.33+5.35+6.4+5.53+5.35+5.35+10.6+18.19+7.74+13.2+6.2+13.5+12.8</f>
        <v>217.5</v>
      </c>
      <c r="CJ7" s="43">
        <v>6.4</v>
      </c>
      <c r="CK7" s="43"/>
      <c r="CL7" s="43"/>
      <c r="CM7" s="43"/>
      <c r="CN7" s="43">
        <f>6.2+5.35+8.9+8+9.9+13.1+(39.37-25.47)+8+32.69+4.2+13.2+6.2+13.1+6.2+6.2+12.7+6.2+(13.42-7.22)+6.2+12.9+7.5+13.1</f>
        <v>219.93999999999991</v>
      </c>
      <c r="CO7" s="43"/>
      <c r="CP7" s="43"/>
      <c r="CQ7" s="43"/>
      <c r="CR7" s="43"/>
      <c r="CS7" s="43">
        <f>6.2+6.2+6.2+6.7+9.11+6.2+13+20.7+13.5+6.2+22.9+14.2+6.2+6.2+8.4+6.2+6.2+6.2+6.2+6.2+8.1+11.2+6.2+6.2+(54.21-48.01)+6.2+5.44*4+6.57</f>
        <v>255.33999999999986</v>
      </c>
      <c r="CT7" s="43"/>
      <c r="CU7" s="43"/>
      <c r="CV7" s="43"/>
      <c r="CW7" s="43"/>
      <c r="CX7" s="43">
        <f>5.44*5+5.27*3+7.04+12.95+9.48+6+12.98+5.3+5.3+4.8+5.27+5.3+6.64+12.94+6.16+7.38+7.85+5.27+5+6.96+5+5.5+12.7</f>
        <v>198.82999999999998</v>
      </c>
      <c r="CY7" s="43"/>
      <c r="CZ7" s="43"/>
      <c r="DA7" s="43"/>
      <c r="DB7" s="43"/>
      <c r="DC7" s="43">
        <f>4.96+5+5+5.06+12.8+5.78+5+38.9+23.28+21.85+38.55+(5.06+12.06+17.11+8.7+12.48+23.79+19.97)+12.4+9.8+7.27+5+22.66+9.27+10+5.9+15.46+5+11.73+10.45</f>
        <v>390.28999999999996</v>
      </c>
      <c r="DD7" s="43"/>
      <c r="DE7" s="43"/>
      <c r="DF7" s="43"/>
      <c r="DG7" s="43"/>
      <c r="DH7" s="43">
        <f>8.04+5.08+6.64+4+6.64+5.08+7+11.14+5.08+5.09+18.34+5.98+5.98+15.57+5.98+7.47+9.52+5.08+7.32+6+7.4+12.94+5.08+5.08+10.84+5+0.03</f>
        <v>197.40000000000003</v>
      </c>
      <c r="DI7" s="43"/>
      <c r="DJ7" s="43">
        <f>6.4+24.53</f>
        <v>30.93</v>
      </c>
      <c r="DK7" s="43"/>
      <c r="DL7" s="43"/>
      <c r="DM7" s="43">
        <f>5.08+8.64+12.92+17.79+9.48+5.08+9.25+9.17+5.08+12.79+8.36+6.75+10.66+13.22+9.27+5.08+21+6.64+11.42+9+5.98+6.8+22.09+5.2+16.35+10.84+5.98+11.59+8.1+14.5+5+10.28+5.98+9.38+14.46+10.95+19.97+20.2</f>
        <v>400.33</v>
      </c>
      <c r="DN7" s="43"/>
      <c r="DO7" s="43"/>
      <c r="DP7" s="43"/>
      <c r="DQ7" s="43"/>
      <c r="DR7" s="43">
        <f>6.9+13.63+10.9+5.91+5.8+6.12+6.13+2+5+7.5+9.63+10.29+14.68+22.61+5.67+6+8.1+9.5+5.98+9.67+5.79+7.2+6.9</f>
        <v>191.90999999999997</v>
      </c>
      <c r="DS7" s="43"/>
      <c r="DT7" s="43"/>
      <c r="DU7" s="43"/>
      <c r="DV7" s="43"/>
      <c r="DW7" s="43">
        <f>11+8.15+9.49+7.5+12.75+5.79+5.79+5.2+8.39+8.31+5+6.7+5.79+5+5.5+5.79+5.79+5.79+5.98+7+5.79+5.79+5.4+5.82+5+5.8+6.7+((((31.12-17.52))))+8.4+8.4+6.6+4.88+5.79</f>
        <v>228.68</v>
      </c>
      <c r="DX7" s="43"/>
      <c r="DY7" s="43"/>
      <c r="DZ7" s="43"/>
      <c r="EA7" s="43"/>
      <c r="EB7" s="44">
        <f>5.79+10.96+5.84+5.79+5.79+8.5+5.79+9.7+5.61+11.52+14.9+6.96+5+8+11.6+9.5+5.5+7.7+9.2+15.56+5.5+23.45</f>
        <v>198.15999999999997</v>
      </c>
      <c r="EC7" s="43"/>
      <c r="ED7" s="43"/>
      <c r="EE7" s="43">
        <f>5.67+6.8+6.1+19.88+11.41+12.19+11.17+11.33+11.82+6.01+8.29</f>
        <v>110.67000000000002</v>
      </c>
      <c r="EF7" s="43">
        <f>9.3+11.66+11.79</f>
        <v>32.75</v>
      </c>
      <c r="EG7" s="43">
        <f>7.4+7.6+16.5+16.48+6.7+5+11.92+5.67+8.6+11.32+9.3+14+10.2+41.07+10.46+16.67+8+8.49+6.37+9.7+10.42+11+10.61+12.89+5.87+6.3</f>
        <v>288.53999999999996</v>
      </c>
      <c r="EH7" s="45"/>
      <c r="EI7" s="43"/>
      <c r="EJ7" s="43"/>
      <c r="EK7" s="43"/>
      <c r="EL7" s="43">
        <f>9.27+6.22+7.89</f>
        <v>23.38</v>
      </c>
      <c r="EM7" s="43"/>
      <c r="EN7" s="43"/>
      <c r="EO7" s="43"/>
      <c r="EP7" s="43"/>
      <c r="EQ7" s="43">
        <v>93.65</v>
      </c>
      <c r="ER7" s="43"/>
      <c r="ES7" s="43"/>
      <c r="ET7" s="43"/>
      <c r="EU7" s="43"/>
      <c r="EV7" s="43"/>
      <c r="EW7" s="43"/>
      <c r="EX7" s="43"/>
      <c r="EY7" s="43">
        <v>83</v>
      </c>
      <c r="EZ7" s="43"/>
      <c r="FA7" s="43">
        <f>5.58+8.86+5.35+5.35+72.13+79.37+52.68+5.35+5.81</f>
        <v>240.48</v>
      </c>
      <c r="FB7" s="43"/>
      <c r="FC7" s="43"/>
      <c r="FD7" s="43"/>
      <c r="FE7" s="43"/>
      <c r="FF7" s="43">
        <f>16.35+73.59+77.39+5.35+5.81+4.89+5.35+11+5.81+26.64</f>
        <v>232.17999999999995</v>
      </c>
      <c r="FG7" s="43"/>
      <c r="FH7" s="43"/>
      <c r="FI7" s="43"/>
      <c r="FJ7" s="43"/>
      <c r="FK7" s="43"/>
      <c r="FL7" s="43"/>
      <c r="FM7" s="43"/>
      <c r="FN7" s="43"/>
      <c r="FO7" s="43"/>
      <c r="FP7" s="43">
        <f>6.01+9.54+8.93</f>
        <v>24.479999999999997</v>
      </c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>
        <f>7.85+18.28+14.39</f>
        <v>40.520000000000003</v>
      </c>
      <c r="GK7" s="43"/>
      <c r="GL7" s="43"/>
      <c r="GM7" s="43"/>
      <c r="GN7" s="43"/>
      <c r="GO7" s="43">
        <v>34.869999999999997</v>
      </c>
      <c r="GP7" s="43"/>
      <c r="GQ7" s="43"/>
      <c r="GR7" s="43"/>
      <c r="GS7" s="43"/>
      <c r="GT7" s="43"/>
      <c r="GU7" s="43"/>
      <c r="GV7" s="43"/>
      <c r="GW7" s="43"/>
      <c r="GX7" s="43">
        <v>200</v>
      </c>
      <c r="GY7" s="43">
        <f>6.81+8.99+8.29+80.77+62.19+45.52+6.22+8.02+5.88+7.18+7+5.88+7.05</f>
        <v>259.8</v>
      </c>
      <c r="GZ7" s="43"/>
      <c r="HA7" s="43"/>
      <c r="HB7" s="43"/>
      <c r="HC7" s="43"/>
      <c r="HD7" s="43">
        <f>9.05+9.1+6.68+15.5+11.92+14.91+5.88+5.88+14.93+7.62+10.99+5.88+8.44+7.21+5.88+8.92+12.92</f>
        <v>161.70999999999995</v>
      </c>
      <c r="HE7" s="43">
        <f>18.94</f>
        <v>18.940000000000001</v>
      </c>
      <c r="HF7" s="43"/>
      <c r="HG7" s="43"/>
      <c r="HH7" s="43"/>
      <c r="HI7" s="43">
        <f>8.91+6.99+10.97+5+19.99+12.92+10.92+6.68+7.9+8.32+14.95+12.98+21.92+7.9+6.68+6.21+6.13+5.49+5.49</f>
        <v>186.35000000000002</v>
      </c>
      <c r="HJ7" s="43"/>
      <c r="HK7" s="43"/>
      <c r="HL7" s="43"/>
      <c r="HM7" s="43"/>
      <c r="HN7" s="43">
        <f>8.56+6.76+12.96+17.91+15+9.15+8.44+6.68+7.53+5.51+6.61+15.95+9.93+54.99+23.98+51.98+54.99+55.96</f>
        <v>372.89</v>
      </c>
      <c r="HO7" s="43"/>
      <c r="HP7" s="43"/>
      <c r="HQ7" s="43"/>
      <c r="HR7" s="43"/>
      <c r="HS7" s="43">
        <f>8.94+8.84+12.94+10.91+50.91+51.94+7.61+8.41+8.73+9.91</f>
        <v>179.14</v>
      </c>
      <c r="HT7" s="43"/>
      <c r="HU7" s="43"/>
      <c r="HV7" s="43"/>
      <c r="HW7" s="43"/>
      <c r="HX7" s="43">
        <f>7.21+11.97+8.93+8.97+8.77+10.94+10.9+8.93+9.95+8.98+9.91+8.84+40.45+51.95+11.95+12.97+13.98+8.95+10.97+11.05+10.96+10.9+64.99+54.93+10.9+8.86+9.99+8.72+9.95+11.95</f>
        <v>478.71999999999997</v>
      </c>
      <c r="HY7" s="43">
        <v>7.51</v>
      </c>
      <c r="HZ7" s="43">
        <f>12.98+16.99+11.94+15.92+11.94</f>
        <v>69.77</v>
      </c>
      <c r="IA7" s="43">
        <f>8.9+10.94+14.96+10.93+12.96+10.97</f>
        <v>69.66</v>
      </c>
      <c r="IB7" s="43">
        <f>13.95+9.94+7.99+9.92+9.62+11.97+9.92+13.94+15.9+9.91</f>
        <v>113.06</v>
      </c>
      <c r="IC7" s="43">
        <f>13.93+52.03+10.94+49.96+10.94+11.99+17.01+10.97+13.91+12.96+14.91+10.97+7.96+10.97+16.91+9.96+10.92+10.98</f>
        <v>298.22000000000003</v>
      </c>
      <c r="ID7" s="43">
        <f>10.98+11.99+13.92+11.99+16.52+9.62+9.76+9.78</f>
        <v>94.560000000000016</v>
      </c>
      <c r="IE7" s="43">
        <f>13.07+14.98+8.95+9.98+12.53+8.97+10.82+8.45</f>
        <v>87.750000000000014</v>
      </c>
      <c r="IF7" s="43">
        <f>13.18+20.34+8.99+12.91+16.9+17.94+16.54+10.94+9.59+20.22</f>
        <v>147.54999999999998</v>
      </c>
      <c r="IG7" s="43">
        <f>9.01+9.4</f>
        <v>18.41</v>
      </c>
      <c r="IH7" s="43">
        <f>9.98+7.96</f>
        <v>17.940000000000001</v>
      </c>
      <c r="II7" s="43">
        <f>9.82+9.4+2+8.66</f>
        <v>29.88</v>
      </c>
      <c r="IJ7" s="43"/>
      <c r="IK7" s="43"/>
      <c r="IL7" s="43"/>
      <c r="IM7" s="43">
        <f>8.45+10.45+10.9+11.71+9.01+9.9+8.91+9.7+8.58+7.84+9.12+7.93+7.57+9.85+10.9+9.95+10.59+10.18+9.11</f>
        <v>180.64999999999998</v>
      </c>
      <c r="IN7" s="43"/>
      <c r="IO7" s="43"/>
      <c r="IP7" s="43"/>
      <c r="IQ7" s="46" t="s">
        <v>85</v>
      </c>
      <c r="IR7" s="43">
        <f>9.96+7.26+7.68+9.4+10.3+10.91+15.93+10.98+13.9+11.19+9.96+11.15+10.9+9.52+10.84+10.54+7.7+9.93+12.08+10.25+9.76+9.88+10.85+8.88</f>
        <v>249.75</v>
      </c>
      <c r="IS7" s="43"/>
      <c r="IT7" s="43"/>
      <c r="IU7" s="43"/>
      <c r="IV7" s="46" t="s">
        <v>85</v>
      </c>
      <c r="IW7" s="43">
        <f>6.43+10.97+10.93+17.94+11.95+11.91+10.97+8.98+9.96+20.2+9.92+10.95+10.93</f>
        <v>152.04</v>
      </c>
      <c r="IX7" s="43"/>
      <c r="IY7" s="43"/>
      <c r="IZ7" s="43"/>
      <c r="JA7" s="46" t="s">
        <v>85</v>
      </c>
      <c r="JB7" s="43">
        <f>20+20.98+11.95+17.97+11.95+9.93+11.92+10.94+9.91+11.92+9.91+9.98+9.05+9.95+10.91+10.93+11.98+9.9+8.7+10.99+29.99+11.95+9.93+16.93+19.98+10.17+9.99</f>
        <v>348.71000000000004</v>
      </c>
      <c r="JC7" s="43"/>
      <c r="JD7" s="43"/>
      <c r="JE7" s="43">
        <f>13.92+13.96+9.99+8.79+8.73+8.91+9.93+11.93+5.73+8.93</f>
        <v>100.82</v>
      </c>
      <c r="JF7" s="46">
        <f>14.96+9.94+((64.96+69.95+65.01+64.96))</f>
        <v>289.77999999999997</v>
      </c>
      <c r="JG7" s="43">
        <f>59.95+65.12+11.95+9.93+10.96+10.97+9.93+8.53+9.28+24.95+((61.67+65.31+64.94+65.18+61.65+65.17+69.99+69.92+69.96+69.9))+19.98+11.91+10.96+9.9+12.97+10.99+16.24+14.91+24.66</f>
        <v>1017.7800000000001</v>
      </c>
      <c r="JH7" s="43">
        <f>8.56+69.98+81.18+69.9+63.7</f>
        <v>293.32000000000005</v>
      </c>
      <c r="JI7" s="43">
        <f>79.92+69.97</f>
        <v>149.88999999999999</v>
      </c>
      <c r="JJ7" s="43"/>
      <c r="JK7" s="46" t="s">
        <v>85</v>
      </c>
      <c r="JL7" s="43"/>
      <c r="JM7" s="43">
        <f>19.97+13.95+12.91+10.95+9.9</f>
        <v>67.680000000000007</v>
      </c>
      <c r="JN7" s="43">
        <f>8.48+8.62</f>
        <v>17.100000000000001</v>
      </c>
      <c r="JO7" s="43"/>
      <c r="JP7" s="46" t="s">
        <v>85</v>
      </c>
      <c r="JQ7" s="43"/>
      <c r="JR7" s="43"/>
      <c r="JS7" s="43"/>
      <c r="JT7" s="43"/>
      <c r="JU7" s="43"/>
      <c r="JV7" s="43">
        <v>50</v>
      </c>
      <c r="JW7" s="43"/>
      <c r="JX7" s="43"/>
      <c r="JY7" s="43"/>
      <c r="JZ7" s="46" t="s">
        <v>85</v>
      </c>
      <c r="KA7" s="43">
        <f>160+200-(318.65)</f>
        <v>41.350000000000023</v>
      </c>
      <c r="KB7" s="43"/>
      <c r="KC7" s="43"/>
      <c r="KD7" s="43"/>
      <c r="KE7" s="46">
        <f>9.38+19.99</f>
        <v>29.369999999999997</v>
      </c>
      <c r="KF7" s="43">
        <f>9.58+10.98</f>
        <v>20.560000000000002</v>
      </c>
      <c r="KG7" s="43"/>
      <c r="KH7" s="43"/>
      <c r="KI7" s="43"/>
      <c r="KJ7" s="46" t="s">
        <v>85</v>
      </c>
      <c r="KK7" s="43">
        <f>10.91+9.97+10.94+29.96+10.95+14.91+69.92</f>
        <v>157.56</v>
      </c>
      <c r="KL7" s="43"/>
      <c r="KM7" s="43"/>
      <c r="KN7" s="43"/>
      <c r="KO7" s="46" t="s">
        <v>85</v>
      </c>
      <c r="KP7" s="43">
        <f>8.97+8.93+10.99+12.95</f>
        <v>41.84</v>
      </c>
      <c r="KQ7" s="43"/>
      <c r="KR7" s="43"/>
      <c r="KS7" s="43"/>
      <c r="KT7" s="46" t="s">
        <v>85</v>
      </c>
      <c r="KU7" s="43">
        <f>-2105.16</f>
        <v>-2105.16</v>
      </c>
      <c r="KV7" s="43"/>
      <c r="KW7" s="43"/>
      <c r="KX7" s="43"/>
      <c r="KY7" s="46" t="s">
        <v>85</v>
      </c>
      <c r="KZ7" s="43"/>
      <c r="LA7" s="43"/>
      <c r="LB7" s="43"/>
      <c r="LC7" s="43"/>
      <c r="LD7" s="46" t="s">
        <v>85</v>
      </c>
      <c r="LE7" s="43"/>
      <c r="LF7" s="43"/>
      <c r="LG7" s="43"/>
      <c r="LH7" s="43">
        <f>8.96</f>
        <v>8.9600000000000009</v>
      </c>
      <c r="LI7" s="46">
        <f>74.92+84.99-90.02</f>
        <v>69.89</v>
      </c>
      <c r="LJ7" s="43"/>
      <c r="LK7" s="43"/>
      <c r="LL7" s="43">
        <f>11.93+9.93</f>
        <v>21.86</v>
      </c>
      <c r="LM7" s="43"/>
      <c r="LN7" s="46" t="s">
        <v>85</v>
      </c>
      <c r="LO7" s="43"/>
      <c r="LP7" s="43"/>
      <c r="LQ7" s="43"/>
      <c r="LR7" s="43"/>
      <c r="LS7" s="46" t="s">
        <v>85</v>
      </c>
      <c r="LT7" s="43"/>
      <c r="LU7" s="43"/>
      <c r="LV7" s="43"/>
      <c r="LW7" s="43"/>
      <c r="LX7" s="46" t="s">
        <v>85</v>
      </c>
      <c r="LY7" s="43"/>
      <c r="LZ7" s="43"/>
      <c r="MA7" s="43"/>
      <c r="MB7" s="43"/>
      <c r="MC7" s="46">
        <f>16.94+59.94+69.91</f>
        <v>146.79</v>
      </c>
      <c r="MD7" s="43">
        <f>150+150+(66.7+66.66*5-8.25)+(33.35+33.33*5-4.13)-612.19</f>
        <v>275.42999999999995</v>
      </c>
      <c r="ME7" s="43"/>
      <c r="MF7" s="43"/>
      <c r="MG7" s="43"/>
      <c r="MH7" s="46" t="s">
        <v>85</v>
      </c>
      <c r="MI7" s="43"/>
      <c r="MJ7" s="43"/>
      <c r="MK7" s="43"/>
      <c r="ML7" s="43"/>
      <c r="MM7" s="46" t="s">
        <v>85</v>
      </c>
      <c r="MN7" s="43">
        <f>(400-8.25)+(300-6.19)+14.43-714.43</f>
        <v>-14.440000000000055</v>
      </c>
      <c r="MO7" s="43"/>
      <c r="MP7" s="43"/>
      <c r="MQ7" s="43"/>
      <c r="MR7" s="46" t="s">
        <v>85</v>
      </c>
      <c r="MS7" s="43">
        <f>29.99+2.1+176.86+85.56+33.03-292.41+79.91+84.98+105.11</f>
        <v>305.12999999999994</v>
      </c>
      <c r="MT7" s="43"/>
      <c r="MU7" s="43"/>
      <c r="MV7" s="43"/>
      <c r="MW7" s="46" t="s">
        <v>85</v>
      </c>
      <c r="MX7" s="43">
        <f>(6.9*3+7.4)</f>
        <v>28.1</v>
      </c>
    </row>
    <row r="8" spans="1:363">
      <c r="A8" s="107"/>
      <c r="B8" s="42" t="s">
        <v>86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4"/>
      <c r="EC8" s="43"/>
      <c r="ED8" s="43"/>
      <c r="EE8" s="43"/>
      <c r="EF8" s="43"/>
      <c r="EG8" s="43"/>
      <c r="EH8" s="45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6"/>
      <c r="IR8" s="43"/>
      <c r="IS8" s="43"/>
      <c r="IT8" s="43"/>
      <c r="IU8" s="43"/>
      <c r="IV8" s="46"/>
      <c r="IW8" s="43"/>
      <c r="IX8" s="43"/>
      <c r="IY8" s="43"/>
      <c r="IZ8" s="43"/>
      <c r="JA8" s="46"/>
      <c r="JB8" s="43"/>
      <c r="JC8" s="43"/>
      <c r="JD8" s="43"/>
      <c r="JE8" s="43"/>
      <c r="JF8" s="46"/>
      <c r="JG8" s="43"/>
      <c r="JH8" s="43"/>
      <c r="JI8" s="43"/>
      <c r="JJ8" s="43"/>
      <c r="JK8" s="46"/>
      <c r="JL8" s="43">
        <f>138.9+200+116.73</f>
        <v>455.63</v>
      </c>
      <c r="JM8" s="43">
        <v>141.91999999999999</v>
      </c>
      <c r="JN8" s="43"/>
      <c r="JO8" s="43">
        <v>59.79</v>
      </c>
      <c r="JP8" s="46">
        <f>100+150</f>
        <v>250</v>
      </c>
      <c r="JQ8" s="43">
        <f>347.56+(116.66*11-50.45)+(78.3)+200+54.86+100</f>
        <v>2013.5299999999997</v>
      </c>
      <c r="JR8" s="43"/>
      <c r="JS8" s="43"/>
      <c r="JT8" s="43">
        <f>6</f>
        <v>6</v>
      </c>
      <c r="JU8" s="46">
        <v>100</v>
      </c>
      <c r="JV8" s="43">
        <f>324.31+(69.66)+263.68</f>
        <v>657.65000000000009</v>
      </c>
      <c r="JW8" s="43"/>
      <c r="JX8" s="43"/>
      <c r="JY8" s="43">
        <f>3.5+6</f>
        <v>9.5</v>
      </c>
      <c r="JZ8" s="43">
        <v>11.49</v>
      </c>
      <c r="KA8" s="43">
        <f>324.31+50+209.98+100+16.46</f>
        <v>700.75</v>
      </c>
      <c r="KB8" s="43">
        <v>100</v>
      </c>
      <c r="KC8" s="43"/>
      <c r="KD8" s="43"/>
      <c r="KE8" s="46"/>
      <c r="KF8" s="43">
        <f>324.31+(16.44*5-1.36)+21.94+232.43</f>
        <v>659.52</v>
      </c>
      <c r="KG8" s="43"/>
      <c r="KH8" s="43"/>
      <c r="KI8" s="43"/>
      <c r="KJ8" s="46"/>
      <c r="KK8" s="43">
        <f>237.74+79.9</f>
        <v>317.64</v>
      </c>
      <c r="KL8" s="43"/>
      <c r="KM8" s="43"/>
      <c r="KN8" s="43">
        <v>225.52</v>
      </c>
      <c r="KO8" s="46"/>
      <c r="KP8" s="43">
        <f>324.31+100.1</f>
        <v>424.40999999999997</v>
      </c>
      <c r="KQ8" s="43"/>
      <c r="KR8" s="43">
        <f>2025.24+183.24</f>
        <v>2208.48</v>
      </c>
      <c r="KS8" s="43"/>
      <c r="KT8" s="46">
        <f>100+100</f>
        <v>200</v>
      </c>
      <c r="KU8" s="43">
        <f>405.77+77.44+191.6+95.81</f>
        <v>770.61999999999989</v>
      </c>
      <c r="KV8" s="43"/>
      <c r="KW8" s="43"/>
      <c r="KX8" s="43"/>
      <c r="KY8" s="46">
        <v>150</v>
      </c>
      <c r="KZ8" s="43">
        <f>405.77</f>
        <v>405.77</v>
      </c>
      <c r="LA8" s="43"/>
      <c r="LB8" s="43"/>
      <c r="LC8" s="43">
        <f>50+14</f>
        <v>64</v>
      </c>
      <c r="LD8" s="46">
        <v>50</v>
      </c>
      <c r="LE8" s="43">
        <f>405.77</f>
        <v>405.77</v>
      </c>
      <c r="LF8" s="43">
        <v>183.24</v>
      </c>
      <c r="LG8" s="43"/>
      <c r="LH8" s="43"/>
      <c r="LI8" s="46"/>
      <c r="LJ8" s="43">
        <f>405.77+87.36+97.22+100+97.27</f>
        <v>787.62</v>
      </c>
      <c r="LK8" s="43"/>
      <c r="LL8" s="43">
        <v>53</v>
      </c>
      <c r="LM8" s="43">
        <f>14+6</f>
        <v>20</v>
      </c>
      <c r="LN8" s="46">
        <f>35+45</f>
        <v>80</v>
      </c>
      <c r="LO8" s="43">
        <f>405.77+60+6+(97.27+110+95+50)</f>
        <v>824.04</v>
      </c>
      <c r="LP8" s="43"/>
      <c r="LQ8" s="43"/>
      <c r="LR8" s="43"/>
      <c r="LS8" s="46"/>
      <c r="LT8" s="43">
        <f>405.77+98.07+100</f>
        <v>603.83999999999992</v>
      </c>
      <c r="LU8" s="43"/>
      <c r="LV8" s="43"/>
      <c r="LW8" s="43"/>
      <c r="LX8" s="46">
        <v>4</v>
      </c>
      <c r="LY8" s="43">
        <f>405.77+147.41+74+50+6+15+96.49+6</f>
        <v>800.67</v>
      </c>
      <c r="LZ8" s="43"/>
      <c r="MA8" s="43">
        <v>348.3</v>
      </c>
      <c r="MB8" s="43"/>
      <c r="MC8" s="46">
        <v>15</v>
      </c>
      <c r="MD8" s="43">
        <f>405.77+15+15+150+18+4+93.22</f>
        <v>700.99</v>
      </c>
      <c r="ME8" s="43">
        <f>3+17</f>
        <v>20</v>
      </c>
      <c r="MF8" s="43">
        <v>17</v>
      </c>
      <c r="MG8" s="43">
        <v>58</v>
      </c>
      <c r="MH8" s="46">
        <v>51.2</v>
      </c>
      <c r="MI8" s="43">
        <f>405.77+186.42+6.2</f>
        <v>598.39</v>
      </c>
      <c r="MJ8" s="43">
        <v>58</v>
      </c>
      <c r="MK8" s="43"/>
      <c r="ML8" s="43"/>
      <c r="MM8" s="46">
        <f>74+20</f>
        <v>94</v>
      </c>
      <c r="MN8" s="43">
        <f>405.77+139.82+89.7+95.59</f>
        <v>730.88</v>
      </c>
      <c r="MO8" s="43"/>
      <c r="MP8" s="43"/>
      <c r="MQ8" s="43"/>
      <c r="MR8" s="46"/>
      <c r="MS8" s="43">
        <f>405.77+136.91+6.2</f>
        <v>548.88</v>
      </c>
      <c r="MT8" s="43"/>
      <c r="MU8" s="43"/>
      <c r="MV8" s="43"/>
      <c r="MW8" s="46"/>
      <c r="MX8" s="43">
        <f>405.77</f>
        <v>405.77</v>
      </c>
    </row>
    <row r="9" spans="1:363">
      <c r="A9" s="107"/>
      <c r="B9" s="42" t="s">
        <v>87</v>
      </c>
      <c r="C9" s="43"/>
      <c r="D9" s="43">
        <v>25.5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>
        <v>40</v>
      </c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>
        <v>5</v>
      </c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>
        <v>400</v>
      </c>
      <c r="AU9" s="43"/>
      <c r="AV9" s="43"/>
      <c r="AW9" s="43">
        <v>69.900000000000006</v>
      </c>
      <c r="AX9" s="43"/>
      <c r="AY9" s="43">
        <v>99.9</v>
      </c>
      <c r="AZ9" s="43"/>
      <c r="BA9" s="43">
        <v>189.8</v>
      </c>
      <c r="BB9" s="43"/>
      <c r="BC9" s="43"/>
      <c r="BD9" s="43"/>
      <c r="BE9" s="43">
        <v>138.75</v>
      </c>
      <c r="BF9" s="43">
        <v>6.98</v>
      </c>
      <c r="BG9" s="43"/>
      <c r="BH9" s="43"/>
      <c r="BI9" s="43"/>
      <c r="BJ9" s="43">
        <f>138.74+36.03</f>
        <v>174.77</v>
      </c>
      <c r="BK9" s="43"/>
      <c r="BL9" s="43"/>
      <c r="BM9" s="43"/>
      <c r="BN9" s="43"/>
      <c r="BO9" s="43">
        <f>67.81+35.99</f>
        <v>103.80000000000001</v>
      </c>
      <c r="BP9" s="43">
        <v>20</v>
      </c>
      <c r="BQ9" s="43"/>
      <c r="BR9" s="43"/>
      <c r="BS9" s="43"/>
      <c r="BT9" s="43">
        <f>67.81+35.99</f>
        <v>103.80000000000001</v>
      </c>
      <c r="BU9" s="43"/>
      <c r="BV9" s="43"/>
      <c r="BW9" s="43">
        <v>5</v>
      </c>
      <c r="BX9" s="43"/>
      <c r="BY9" s="43">
        <v>35.99</v>
      </c>
      <c r="BZ9" s="43"/>
      <c r="CA9" s="43"/>
      <c r="CB9" s="43"/>
      <c r="CC9" s="43"/>
      <c r="CD9" s="43">
        <v>35.99</v>
      </c>
      <c r="CE9" s="43">
        <v>132</v>
      </c>
      <c r="CF9" s="43"/>
      <c r="CG9" s="43"/>
      <c r="CH9" s="43"/>
      <c r="CI9" s="43">
        <v>43.96</v>
      </c>
      <c r="CJ9" s="43"/>
      <c r="CK9" s="43"/>
      <c r="CL9" s="43"/>
      <c r="CM9" s="43">
        <v>99.99</v>
      </c>
      <c r="CN9" s="43"/>
      <c r="CO9" s="43"/>
      <c r="CP9" s="43">
        <v>119.99</v>
      </c>
      <c r="CQ9" s="43"/>
      <c r="CR9" s="43">
        <f>(400-145.7+1.7)</f>
        <v>256</v>
      </c>
      <c r="CS9" s="43">
        <f>24.1+119.9+(116.7/2+45.9)+93.7</f>
        <v>341.95</v>
      </c>
      <c r="CT9" s="43"/>
      <c r="CU9" s="43"/>
      <c r="CV9" s="43"/>
      <c r="CW9" s="43"/>
      <c r="CX9" s="43">
        <f>116.7/2+45.2+15</f>
        <v>118.55000000000001</v>
      </c>
      <c r="CY9" s="43"/>
      <c r="CZ9" s="43"/>
      <c r="DA9" s="43">
        <v>37</v>
      </c>
      <c r="DB9" s="43"/>
      <c r="DC9" s="43">
        <f>45.2+8.99</f>
        <v>54.190000000000005</v>
      </c>
      <c r="DD9" s="43"/>
      <c r="DE9" s="43"/>
      <c r="DF9" s="43"/>
      <c r="DG9" s="43"/>
      <c r="DH9" s="43">
        <f>45.2</f>
        <v>45.2</v>
      </c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>
        <v>25</v>
      </c>
      <c r="EA9" s="43"/>
      <c r="EB9" s="44">
        <v>60.97</v>
      </c>
      <c r="EC9" s="43"/>
      <c r="ED9" s="43"/>
      <c r="EE9" s="43"/>
      <c r="EF9" s="43"/>
      <c r="EG9" s="43"/>
      <c r="EH9" s="45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>
        <v>199.8</v>
      </c>
      <c r="FB9" s="43"/>
      <c r="FC9" s="43"/>
      <c r="FD9" s="43"/>
      <c r="FE9" s="43"/>
      <c r="FF9" s="43">
        <f>(199.8*4-1.53)+42.97+39.9+(33.34+33.33*5-0.64)+(41.34+41.33*2-0.16)</f>
        <v>1203.73</v>
      </c>
      <c r="FG9" s="43"/>
      <c r="FH9" s="43"/>
      <c r="FI9" s="43"/>
      <c r="FJ9" s="43"/>
      <c r="FK9" s="43"/>
      <c r="FL9" s="43"/>
      <c r="FM9" s="43"/>
      <c r="FN9" s="43"/>
      <c r="FO9" s="43"/>
      <c r="FP9" s="43">
        <v>27.5</v>
      </c>
      <c r="FQ9" s="43"/>
      <c r="FR9" s="43"/>
      <c r="FS9" s="43"/>
      <c r="FT9" s="43"/>
      <c r="FU9" s="43"/>
      <c r="FV9" s="43"/>
      <c r="FW9" s="43"/>
      <c r="FX9" s="43">
        <v>73.95</v>
      </c>
      <c r="FY9" s="43"/>
      <c r="FZ9" s="43">
        <f>848.5+29.9</f>
        <v>878.4</v>
      </c>
      <c r="GA9" s="43"/>
      <c r="GB9" s="43"/>
      <c r="GC9" s="43"/>
      <c r="GD9" s="43"/>
      <c r="GE9" s="43">
        <v>848.5</v>
      </c>
      <c r="GF9" s="43"/>
      <c r="GG9" s="43"/>
      <c r="GH9" s="43">
        <f>710.5-100</f>
        <v>610.5</v>
      </c>
      <c r="GI9" s="43"/>
      <c r="GJ9" s="43">
        <f>848.5+99.8</f>
        <v>948.3</v>
      </c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>
        <f>(142.37+142.33*9-14.17)</f>
        <v>1409.17</v>
      </c>
      <c r="GZ9" s="43"/>
      <c r="HA9" s="43"/>
      <c r="HB9" s="43"/>
      <c r="HC9" s="43"/>
      <c r="HD9" s="43">
        <v>127.48</v>
      </c>
      <c r="HE9" s="43"/>
      <c r="HF9" s="43"/>
      <c r="HG9" s="43"/>
      <c r="HH9" s="43"/>
      <c r="HI9" s="43">
        <v>45.87</v>
      </c>
      <c r="HJ9" s="43"/>
      <c r="HK9" s="43"/>
      <c r="HL9" s="43"/>
      <c r="HM9" s="43"/>
      <c r="HN9" s="43"/>
      <c r="HO9" s="43">
        <f>230+1612</f>
        <v>1842</v>
      </c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>
        <v>137.76</v>
      </c>
      <c r="IE9" s="43">
        <v>328</v>
      </c>
      <c r="IF9" s="43">
        <v>117.14</v>
      </c>
      <c r="IG9" s="43"/>
      <c r="IH9" s="43"/>
      <c r="II9" s="43"/>
      <c r="IJ9" s="43"/>
      <c r="IK9" s="43"/>
      <c r="IL9" s="43"/>
      <c r="IM9" s="43"/>
      <c r="IN9" s="43"/>
      <c r="IO9" s="43"/>
      <c r="IP9" s="43">
        <v>170</v>
      </c>
      <c r="IQ9" s="43"/>
      <c r="IR9" s="43"/>
      <c r="IS9" s="43"/>
      <c r="IT9" s="43">
        <f>129.33+436+109</f>
        <v>674.33</v>
      </c>
      <c r="IU9" s="43">
        <v>210.09</v>
      </c>
      <c r="IV9" s="43"/>
      <c r="IW9" s="43"/>
      <c r="IX9" s="43">
        <f>129.33+414</f>
        <v>543.33000000000004</v>
      </c>
      <c r="IY9" s="43"/>
      <c r="IZ9" s="43"/>
      <c r="JA9" s="43"/>
      <c r="JB9" s="43">
        <f>170+92.91+24.27+1.55</f>
        <v>288.72999999999996</v>
      </c>
      <c r="JC9" s="43"/>
      <c r="JD9" s="43">
        <f>81.49+49.6</f>
        <v>131.09</v>
      </c>
      <c r="JE9" s="43"/>
      <c r="JF9" s="43"/>
      <c r="JG9" s="43">
        <f>45.9+168.68</f>
        <v>214.58</v>
      </c>
      <c r="JH9" s="43"/>
      <c r="JI9" s="43">
        <v>30</v>
      </c>
      <c r="JJ9" s="43"/>
      <c r="JK9" s="43"/>
      <c r="JL9" s="43">
        <f>47.9+(43.33+43.32*2-1.01)+(65*10-22.24)</f>
        <v>804.62</v>
      </c>
      <c r="JM9" s="43"/>
      <c r="JN9" s="43"/>
      <c r="JO9" s="43"/>
      <c r="JP9" s="43"/>
      <c r="JQ9" s="43"/>
      <c r="JR9" s="43"/>
      <c r="JS9" s="43"/>
      <c r="JT9" s="43"/>
      <c r="JU9" s="43">
        <f>125.1+279.8</f>
        <v>404.9</v>
      </c>
      <c r="JV9" s="43"/>
      <c r="JW9" s="43"/>
      <c r="JX9" s="43"/>
      <c r="JY9" s="43"/>
      <c r="JZ9" s="43"/>
      <c r="KA9" s="43"/>
      <c r="KB9" s="43"/>
      <c r="KC9" s="43"/>
      <c r="KD9" s="43"/>
      <c r="KE9" s="43"/>
      <c r="KF9" s="43"/>
      <c r="KG9" s="43"/>
      <c r="KH9" s="43"/>
      <c r="KI9" s="43"/>
      <c r="KJ9" s="43"/>
      <c r="KK9" s="43">
        <f>21.95+27.4+69.9</f>
        <v>119.25</v>
      </c>
      <c r="KL9" s="43"/>
      <c r="KM9" s="43"/>
      <c r="KN9" s="43"/>
      <c r="KO9" s="43"/>
      <c r="KP9" s="43">
        <f>77.65*3-1.94+51.9+(70+69.99-0.58)+(65+64.99-0.54)+35.99</f>
        <v>587.7600000000001</v>
      </c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>
        <v>179.7</v>
      </c>
      <c r="LD9" s="43"/>
      <c r="LE9" s="43"/>
      <c r="LF9" s="43"/>
      <c r="LG9" s="43"/>
      <c r="LH9" s="43"/>
      <c r="LI9" s="43">
        <v>84.98</v>
      </c>
      <c r="LJ9" s="43"/>
      <c r="LK9" s="43"/>
      <c r="LL9" s="43">
        <v>104.27</v>
      </c>
      <c r="LM9" s="43">
        <v>49.9</v>
      </c>
      <c r="LN9" s="43"/>
      <c r="LO9" s="43"/>
      <c r="LP9" s="43"/>
      <c r="LQ9" s="43"/>
      <c r="LR9" s="43"/>
      <c r="LS9" s="43"/>
      <c r="LT9" s="43"/>
      <c r="LU9" s="43"/>
      <c r="LV9" s="43"/>
      <c r="LW9" s="43">
        <v>116.1</v>
      </c>
      <c r="LX9" s="43"/>
      <c r="LY9" s="43">
        <v>47.8</v>
      </c>
      <c r="LZ9" s="43"/>
      <c r="MA9" s="43"/>
      <c r="MB9" s="43"/>
      <c r="MC9" s="43">
        <v>279.7</v>
      </c>
      <c r="MD9" s="43">
        <f>47.8+47.99</f>
        <v>95.789999999999992</v>
      </c>
      <c r="ME9" s="43"/>
      <c r="MF9" s="43"/>
      <c r="MG9" s="43"/>
      <c r="MH9" s="43"/>
      <c r="MI9" s="43">
        <v>47.8</v>
      </c>
      <c r="MJ9" s="43"/>
      <c r="MK9" s="43"/>
      <c r="ML9" s="43"/>
      <c r="MM9" s="43"/>
      <c r="MN9" s="43">
        <v>47.8</v>
      </c>
      <c r="MO9" s="43"/>
      <c r="MP9" s="43"/>
      <c r="MQ9" s="43">
        <v>323.7</v>
      </c>
      <c r="MR9" s="43"/>
      <c r="MS9" s="43">
        <f>47.8+69.99+140</f>
        <v>257.78999999999996</v>
      </c>
      <c r="MT9" s="43"/>
      <c r="MU9" s="43"/>
      <c r="MV9" s="43"/>
      <c r="MW9" s="43"/>
      <c r="MX9" s="43">
        <f>(47.8*5-3.96)</f>
        <v>235.04</v>
      </c>
    </row>
    <row r="10" spans="1:363" ht="15">
      <c r="A10" s="107"/>
      <c r="B10" s="42" t="s">
        <v>88</v>
      </c>
      <c r="C10" s="43"/>
      <c r="D10" s="43"/>
      <c r="E10" s="43"/>
      <c r="F10" s="43"/>
      <c r="G10" s="43"/>
      <c r="H10" s="43">
        <v>89.8</v>
      </c>
      <c r="I10" s="43"/>
      <c r="J10" s="43">
        <v>426.93</v>
      </c>
      <c r="K10" s="43"/>
      <c r="L10" s="43"/>
      <c r="M10" s="43">
        <v>15</v>
      </c>
      <c r="N10" s="43">
        <f>25.9+189.9</f>
        <v>215.8</v>
      </c>
      <c r="O10" s="43"/>
      <c r="P10" s="43">
        <v>30</v>
      </c>
      <c r="Q10" s="43"/>
      <c r="R10" s="43">
        <v>10.36</v>
      </c>
      <c r="S10" s="43"/>
      <c r="T10" s="43"/>
      <c r="U10" s="43"/>
      <c r="V10" s="43"/>
      <c r="W10" s="43">
        <v>10</v>
      </c>
      <c r="X10" s="43"/>
      <c r="Y10" s="43"/>
      <c r="Z10" s="43"/>
      <c r="AA10" s="43"/>
      <c r="AB10" s="43">
        <v>12.29</v>
      </c>
      <c r="AC10" s="43"/>
      <c r="AD10" s="43"/>
      <c r="AE10" s="43">
        <v>20</v>
      </c>
      <c r="AF10" s="43"/>
      <c r="AG10" s="43"/>
      <c r="AH10" s="43">
        <f>49.99+99.9</f>
        <v>149.89000000000001</v>
      </c>
      <c r="AI10" s="43"/>
      <c r="AJ10" s="43"/>
      <c r="AK10" s="43"/>
      <c r="AL10" s="43"/>
      <c r="AM10" s="43">
        <v>30</v>
      </c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>
        <f>119.98+119.99+49.99</f>
        <v>289.95999999999998</v>
      </c>
      <c r="BI10" s="43"/>
      <c r="BJ10" s="43"/>
      <c r="BK10" s="43">
        <v>16</v>
      </c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>
        <v>44</v>
      </c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>
        <v>100</v>
      </c>
      <c r="CN10" s="43">
        <v>99.9</v>
      </c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>
        <f>15+59.9+21.99</f>
        <v>96.89</v>
      </c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>
        <f>(375.6-1.11)+(82.27+5.25)+247.16+99.98+39.9</f>
        <v>849.05</v>
      </c>
      <c r="DS10" s="43"/>
      <c r="DT10" s="43"/>
      <c r="DU10" s="43"/>
      <c r="DV10" s="43"/>
      <c r="DW10" s="43"/>
      <c r="DX10" s="43"/>
      <c r="DY10" s="43"/>
      <c r="DZ10" s="43"/>
      <c r="EA10" s="43"/>
      <c r="EB10" s="44"/>
      <c r="EC10" s="43"/>
      <c r="ED10" s="43"/>
      <c r="EE10" s="43"/>
      <c r="EF10" s="43"/>
      <c r="EG10" s="43"/>
      <c r="EH10" s="45"/>
      <c r="EI10" s="43"/>
      <c r="EJ10" s="43"/>
      <c r="EK10" s="43"/>
      <c r="EL10" s="43"/>
      <c r="EM10" s="43"/>
      <c r="EN10" s="43"/>
      <c r="EO10" s="43"/>
      <c r="EP10" s="43"/>
      <c r="EQ10" s="47"/>
      <c r="ER10" s="43"/>
      <c r="ES10" s="43"/>
      <c r="ET10" s="43"/>
      <c r="EU10" s="43">
        <v>100</v>
      </c>
      <c r="EV10" s="43"/>
      <c r="EW10" s="43"/>
      <c r="EX10" s="43"/>
      <c r="EY10" s="43"/>
      <c r="EZ10" s="43"/>
      <c r="FA10" s="43">
        <f>(9.99*12-0.94)+(9.43*12-0.84)</f>
        <v>231.26</v>
      </c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>
        <v>405.37</v>
      </c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>
        <v>50</v>
      </c>
      <c r="GM10" s="43"/>
      <c r="GN10" s="43"/>
      <c r="GO10" s="43">
        <v>78.47</v>
      </c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3"/>
      <c r="JB10" s="43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>
        <v>48.94</v>
      </c>
      <c r="JO10" s="43"/>
      <c r="JP10" s="43"/>
      <c r="JQ10" s="43"/>
      <c r="JR10" s="43">
        <v>738.21</v>
      </c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3"/>
      <c r="KG10" s="43">
        <v>60</v>
      </c>
      <c r="KH10" s="43"/>
      <c r="KI10" s="43"/>
      <c r="KJ10" s="43"/>
      <c r="KK10" s="43"/>
      <c r="KL10" s="43"/>
      <c r="KM10" s="43"/>
      <c r="KN10" s="43"/>
      <c r="KO10" s="43"/>
      <c r="KP10" s="43"/>
      <c r="KQ10" s="43"/>
      <c r="KR10" s="43"/>
      <c r="KS10" s="43"/>
      <c r="KT10" s="43"/>
      <c r="KU10" s="43"/>
      <c r="KV10" s="43"/>
      <c r="KW10" s="43"/>
      <c r="KX10" s="43"/>
      <c r="KY10" s="43"/>
      <c r="KZ10" s="43"/>
      <c r="LA10" s="43"/>
      <c r="LB10" s="43"/>
      <c r="LC10" s="43"/>
      <c r="LD10" s="43"/>
      <c r="LE10" s="43"/>
      <c r="LF10" s="43"/>
      <c r="LG10" s="43"/>
      <c r="LH10" s="43"/>
      <c r="LI10" s="43"/>
      <c r="LJ10" s="43"/>
      <c r="LK10" s="43"/>
      <c r="LL10" s="43">
        <v>288</v>
      </c>
      <c r="LM10" s="43"/>
      <c r="LN10" s="43"/>
      <c r="LO10" s="43"/>
      <c r="LP10" s="43"/>
      <c r="LQ10" s="43"/>
      <c r="LR10" s="43"/>
      <c r="LS10" s="43"/>
      <c r="LT10" s="43"/>
      <c r="LU10" s="43">
        <v>1094.44</v>
      </c>
      <c r="LV10" s="43"/>
      <c r="LW10" s="43">
        <v>100</v>
      </c>
      <c r="LX10" s="43"/>
      <c r="LY10" s="43"/>
      <c r="LZ10" s="43">
        <v>26.38</v>
      </c>
      <c r="MA10" s="43"/>
      <c r="MB10" s="43"/>
      <c r="MC10" s="43">
        <v>151</v>
      </c>
      <c r="MD10" s="43"/>
      <c r="ME10" s="43"/>
      <c r="MF10" s="43"/>
      <c r="MG10" s="43"/>
      <c r="MH10" s="43"/>
      <c r="MI10" s="43"/>
      <c r="MJ10" s="43"/>
      <c r="MK10" s="43"/>
      <c r="ML10" s="43"/>
      <c r="MM10" s="43"/>
      <c r="MN10" s="43"/>
      <c r="MO10" s="43">
        <v>310.85000000000002</v>
      </c>
      <c r="MP10" s="43"/>
      <c r="MQ10" s="43"/>
      <c r="MR10" s="43"/>
      <c r="MS10" s="43"/>
      <c r="MT10" s="43"/>
      <c r="MU10" s="43"/>
      <c r="MV10" s="43"/>
      <c r="MW10" s="43"/>
      <c r="MX10" s="43"/>
    </row>
    <row r="11" spans="1:363">
      <c r="A11" s="107"/>
      <c r="B11" s="42" t="s">
        <v>89</v>
      </c>
      <c r="C11" s="43"/>
      <c r="D11" s="43">
        <f>12.9+12</f>
        <v>24.9</v>
      </c>
      <c r="E11" s="43">
        <v>38</v>
      </c>
      <c r="F11" s="43">
        <f>14.84</f>
        <v>14.84</v>
      </c>
      <c r="G11" s="43"/>
      <c r="H11" s="43">
        <f>9.9+18.9+17</f>
        <v>45.8</v>
      </c>
      <c r="I11" s="43">
        <v>40</v>
      </c>
      <c r="J11" s="43">
        <v>18.899999999999999</v>
      </c>
      <c r="K11" s="43">
        <f>24.86</f>
        <v>24.86</v>
      </c>
      <c r="L11" s="43"/>
      <c r="M11" s="43">
        <v>17</v>
      </c>
      <c r="N11" s="43">
        <v>20</v>
      </c>
      <c r="O11" s="43">
        <f>45.46+36</f>
        <v>81.460000000000008</v>
      </c>
      <c r="P11" s="43">
        <f>7.89+17</f>
        <v>24.89</v>
      </c>
      <c r="Q11" s="43"/>
      <c r="R11" s="43">
        <f>60+60</f>
        <v>120</v>
      </c>
      <c r="S11" s="43">
        <f>9.45+14.65</f>
        <v>24.1</v>
      </c>
      <c r="T11" s="43">
        <v>17</v>
      </c>
      <c r="U11" s="43">
        <f>31.79+19.98</f>
        <v>51.769999999999996</v>
      </c>
      <c r="V11" s="43"/>
      <c r="W11" s="43">
        <v>120</v>
      </c>
      <c r="X11" s="43">
        <f>17</f>
        <v>17</v>
      </c>
      <c r="Y11" s="43">
        <f>30+23.43</f>
        <v>53.43</v>
      </c>
      <c r="Z11" s="43"/>
      <c r="AA11" s="43"/>
      <c r="AB11" s="43">
        <f>9.45+2.7+17+3.77+3.99</f>
        <v>36.910000000000004</v>
      </c>
      <c r="AC11" s="43">
        <v>16.97</v>
      </c>
      <c r="AD11" s="43">
        <v>15.18</v>
      </c>
      <c r="AE11" s="43">
        <f>27.49+8.55+17+200</f>
        <v>253.04</v>
      </c>
      <c r="AF11" s="43"/>
      <c r="AG11" s="43">
        <v>20</v>
      </c>
      <c r="AH11" s="43">
        <v>7.52</v>
      </c>
      <c r="AI11" s="43">
        <v>30</v>
      </c>
      <c r="AJ11" s="43">
        <f>17+13.58+20</f>
        <v>50.58</v>
      </c>
      <c r="AK11" s="43"/>
      <c r="AL11" s="43"/>
      <c r="AM11" s="43"/>
      <c r="AN11" s="43">
        <v>20</v>
      </c>
      <c r="AO11" s="43">
        <f>20.5</f>
        <v>20.5</v>
      </c>
      <c r="AP11" s="43"/>
      <c r="AQ11" s="43"/>
      <c r="AR11" s="43">
        <f>20+12</f>
        <v>32</v>
      </c>
      <c r="AS11" s="43"/>
      <c r="AT11" s="43">
        <f>20</f>
        <v>20</v>
      </c>
      <c r="AU11" s="43"/>
      <c r="AV11" s="43"/>
      <c r="AW11" s="43">
        <f>12+20</f>
        <v>32</v>
      </c>
      <c r="AX11" s="43"/>
      <c r="AY11" s="43"/>
      <c r="AZ11" s="43"/>
      <c r="BA11" s="43">
        <v>12</v>
      </c>
      <c r="BB11" s="43"/>
      <c r="BC11" s="43">
        <f>31.79</f>
        <v>31.79</v>
      </c>
      <c r="BD11" s="43">
        <f>18.36+20+12</f>
        <v>50.36</v>
      </c>
      <c r="BE11" s="43"/>
      <c r="BF11" s="43"/>
      <c r="BG11" s="43">
        <f>45.96+10.9</f>
        <v>56.86</v>
      </c>
      <c r="BH11" s="43">
        <v>13.98</v>
      </c>
      <c r="BI11" s="43">
        <f>20+7.94</f>
        <v>27.94</v>
      </c>
      <c r="BJ11" s="43"/>
      <c r="BK11" s="43">
        <v>20</v>
      </c>
      <c r="BL11" s="43"/>
      <c r="BM11" s="43">
        <v>20</v>
      </c>
      <c r="BN11" s="43">
        <v>8.99</v>
      </c>
      <c r="BO11" s="43"/>
      <c r="BP11" s="43"/>
      <c r="BQ11" s="43">
        <v>45.51</v>
      </c>
      <c r="BR11" s="43">
        <v>20</v>
      </c>
      <c r="BS11" s="43">
        <v>26.97</v>
      </c>
      <c r="BT11" s="43"/>
      <c r="BU11" s="43">
        <v>14.99</v>
      </c>
      <c r="BV11" s="43">
        <v>2</v>
      </c>
      <c r="BW11" s="43"/>
      <c r="BX11" s="43">
        <f>20</f>
        <v>20</v>
      </c>
      <c r="BY11" s="43"/>
      <c r="BZ11" s="43">
        <v>44.99</v>
      </c>
      <c r="CA11" s="43"/>
      <c r="CB11" s="43"/>
      <c r="CC11" s="43">
        <v>12</v>
      </c>
      <c r="CD11" s="43"/>
      <c r="CE11" s="43">
        <v>44.99</v>
      </c>
      <c r="CF11" s="43"/>
      <c r="CG11" s="43">
        <v>23.97</v>
      </c>
      <c r="CH11" s="43">
        <v>20</v>
      </c>
      <c r="CI11" s="43">
        <v>106.03</v>
      </c>
      <c r="CJ11" s="43">
        <v>44.99</v>
      </c>
      <c r="CK11" s="43"/>
      <c r="CL11" s="43"/>
      <c r="CM11" s="43">
        <f>12+44.99</f>
        <v>56.99</v>
      </c>
      <c r="CN11" s="43"/>
      <c r="CO11" s="43"/>
      <c r="CP11" s="43"/>
      <c r="CQ11" s="43">
        <v>23.27</v>
      </c>
      <c r="CR11" s="43"/>
      <c r="CS11" s="43">
        <v>22</v>
      </c>
      <c r="CT11" s="43">
        <v>44.99</v>
      </c>
      <c r="CU11" s="43"/>
      <c r="CV11" s="43"/>
      <c r="CW11" s="43"/>
      <c r="CX11" s="43"/>
      <c r="CY11" s="43">
        <f>44.99+20</f>
        <v>64.990000000000009</v>
      </c>
      <c r="CZ11" s="43"/>
      <c r="DA11" s="43"/>
      <c r="DB11" s="43"/>
      <c r="DC11" s="43">
        <f>1.96+18.37+(4.29+2.99+34)+9.9</f>
        <v>71.510000000000005</v>
      </c>
      <c r="DD11" s="43">
        <f>44.99+20</f>
        <v>64.990000000000009</v>
      </c>
      <c r="DE11" s="43"/>
      <c r="DF11" s="43"/>
      <c r="DG11" s="43"/>
      <c r="DH11" s="43">
        <f>210+99.9</f>
        <v>309.89999999999998</v>
      </c>
      <c r="DI11" s="43">
        <v>44.99</v>
      </c>
      <c r="DJ11" s="43">
        <f>12+20+22.99</f>
        <v>54.989999999999995</v>
      </c>
      <c r="DK11" s="43"/>
      <c r="DL11" s="43"/>
      <c r="DM11" s="43">
        <f>210+31.95+99.9*2</f>
        <v>441.75</v>
      </c>
      <c r="DN11" s="43">
        <v>44.99</v>
      </c>
      <c r="DO11" s="43"/>
      <c r="DP11" s="43"/>
      <c r="DQ11" s="43"/>
      <c r="DR11" s="43">
        <f>99.9+18.15+23.99</f>
        <v>142.04000000000002</v>
      </c>
      <c r="DS11" s="43">
        <v>44.99</v>
      </c>
      <c r="DT11" s="43">
        <v>107.5</v>
      </c>
      <c r="DU11" s="43">
        <v>12</v>
      </c>
      <c r="DV11" s="43">
        <v>20</v>
      </c>
      <c r="DW11" s="43">
        <f>99.9+9.99+8.97+12</f>
        <v>130.86000000000001</v>
      </c>
      <c r="DX11" s="43">
        <v>44.99</v>
      </c>
      <c r="DY11" s="43">
        <v>29.94</v>
      </c>
      <c r="DZ11" s="43"/>
      <c r="EA11" s="43"/>
      <c r="EB11" s="44">
        <f>5+22+99.9+28.75+8.29+40.2+188.11+20+16.58</f>
        <v>428.83</v>
      </c>
      <c r="EC11" s="43">
        <v>85.97</v>
      </c>
      <c r="ED11" s="43">
        <v>27</v>
      </c>
      <c r="EE11" s="43">
        <f>131+11.96+14.05+10.16+9.17+17.94+36.29+16.54+36.47+74.21</f>
        <v>357.78999999999996</v>
      </c>
      <c r="EF11" s="43">
        <f>21.75+17.31+39.25+37.64+30.9+24.84</f>
        <v>171.69</v>
      </c>
      <c r="EG11" s="43">
        <f>99.9+13.08+48.98+8.78+16.96+3.17+13.08+27.89+20</f>
        <v>251.84000000000003</v>
      </c>
      <c r="EH11" s="45">
        <f>73.88+25.06+123.01+58.7+23.67</f>
        <v>304.32</v>
      </c>
      <c r="EI11" s="43">
        <f>32.58+42.54+44.96+71.71+22.43</f>
        <v>214.22000000000003</v>
      </c>
      <c r="EJ11" s="43">
        <f>30.98+48.35+16.99</f>
        <v>96.32</v>
      </c>
      <c r="EK11" s="43">
        <f>84.78+69.3</f>
        <v>154.07999999999998</v>
      </c>
      <c r="EL11" s="43"/>
      <c r="EM11" s="43">
        <f>47.99+14.03+91.84</f>
        <v>153.86000000000001</v>
      </c>
      <c r="EN11" s="43">
        <v>123.48</v>
      </c>
      <c r="EO11" s="43">
        <v>64.2</v>
      </c>
      <c r="EP11" s="43">
        <v>99.96</v>
      </c>
      <c r="EQ11" s="43">
        <f>10.49+17.38+38.49+18.72</f>
        <v>85.08</v>
      </c>
      <c r="ER11" s="43">
        <v>48.93</v>
      </c>
      <c r="ES11" s="43"/>
      <c r="ET11" s="43"/>
      <c r="EU11" s="43">
        <v>41.02</v>
      </c>
      <c r="EV11" s="43">
        <v>229.49</v>
      </c>
      <c r="EW11" s="43">
        <v>48.93</v>
      </c>
      <c r="EX11" s="43"/>
      <c r="EY11" s="43"/>
      <c r="EZ11" s="43"/>
      <c r="FA11" s="43">
        <f>51.43+1.12+0.17+122.6+51.27+56.1-4.83+0.12+31.87+35.57+73.49+((73.1+58.4))-6.03+40.99+12.7-0.6</f>
        <v>597.47000000000014</v>
      </c>
      <c r="FB11" s="43">
        <v>48.93</v>
      </c>
      <c r="FC11" s="43">
        <v>11.34</v>
      </c>
      <c r="FD11" s="43"/>
      <c r="FE11" s="43"/>
      <c r="FF11" s="43">
        <f>66.08+56+50.98+15.11+22.16</f>
        <v>210.33</v>
      </c>
      <c r="FG11" s="43">
        <v>48.93</v>
      </c>
      <c r="FH11" s="43"/>
      <c r="FI11" s="43"/>
      <c r="FJ11" s="43"/>
      <c r="FK11" s="43">
        <f>94.92+21.24</f>
        <v>116.16</v>
      </c>
      <c r="FL11" s="43">
        <f>48.93+10.52</f>
        <v>59.45</v>
      </c>
      <c r="FM11" s="43">
        <v>42.67</v>
      </c>
      <c r="FN11" s="43"/>
      <c r="FO11" s="43"/>
      <c r="FP11" s="43"/>
      <c r="FQ11" s="43">
        <v>48.93</v>
      </c>
      <c r="FR11" s="43"/>
      <c r="FS11" s="43"/>
      <c r="FT11" s="43"/>
      <c r="FU11" s="43">
        <f>69.13+172.62+109.16</f>
        <v>350.90999999999997</v>
      </c>
      <c r="FV11" s="43">
        <v>48.93</v>
      </c>
      <c r="FW11" s="43"/>
      <c r="FX11" s="43">
        <f>10+23.24</f>
        <v>33.239999999999995</v>
      </c>
      <c r="FY11" s="43"/>
      <c r="FZ11" s="43"/>
      <c r="GA11" s="43">
        <v>48.93</v>
      </c>
      <c r="GB11" s="43">
        <f>8.25+17.98+25.64</f>
        <v>51.870000000000005</v>
      </c>
      <c r="GC11" s="43"/>
      <c r="GD11" s="43"/>
      <c r="GE11" s="43">
        <f>9.42*10-0.54+42.11+37.47</f>
        <v>173.23999999999998</v>
      </c>
      <c r="GF11" s="43">
        <v>48.93</v>
      </c>
      <c r="GG11" s="43"/>
      <c r="GH11" s="43"/>
      <c r="GI11" s="43"/>
      <c r="GJ11" s="43">
        <f>42.99+48.34</f>
        <v>91.330000000000013</v>
      </c>
      <c r="GK11" s="43">
        <f>48.93+10</f>
        <v>58.93</v>
      </c>
      <c r="GL11" s="43"/>
      <c r="GM11" s="43"/>
      <c r="GN11" s="43"/>
      <c r="GO11" s="43">
        <f>26.99+63.97</f>
        <v>90.96</v>
      </c>
      <c r="GP11" s="43">
        <v>49.98</v>
      </c>
      <c r="GQ11" s="43"/>
      <c r="GR11" s="43"/>
      <c r="GS11" s="43"/>
      <c r="GT11" s="43">
        <f>29.92+18.96+21.99+42.09+9.97+44.69+141.55+28.9+49.1+4.38</f>
        <v>391.55</v>
      </c>
      <c r="GU11" s="43">
        <f>49.98+144.51</f>
        <v>194.48999999999998</v>
      </c>
      <c r="GV11" s="43"/>
      <c r="GW11" s="43"/>
      <c r="GX11" s="43"/>
      <c r="GY11" s="43">
        <f>30.4+249.92+190.23+320.78</f>
        <v>791.32999999999993</v>
      </c>
      <c r="GZ11" s="43">
        <f>49.98+175.39+54.51+28.98</f>
        <v>308.86</v>
      </c>
      <c r="HA11" s="43"/>
      <c r="HB11" s="43">
        <f>9.98+115.67+19.6+83.9</f>
        <v>229.15</v>
      </c>
      <c r="HC11" s="43"/>
      <c r="HD11" s="43">
        <f>190.22+36.5+173</f>
        <v>399.72</v>
      </c>
      <c r="HE11" s="43">
        <f>49.98</f>
        <v>49.98</v>
      </c>
      <c r="HF11" s="43"/>
      <c r="HG11" s="43"/>
      <c r="HH11" s="43"/>
      <c r="HI11" s="43">
        <f>(101.27+2.3)+49.21</f>
        <v>152.78</v>
      </c>
      <c r="HJ11" s="43">
        <f>49.98</f>
        <v>49.98</v>
      </c>
      <c r="HK11" s="43"/>
      <c r="HL11" s="43"/>
      <c r="HM11" s="43"/>
      <c r="HN11" s="43">
        <f>49.2+318.01</f>
        <v>367.21</v>
      </c>
      <c r="HO11" s="43">
        <f>49.98</f>
        <v>49.98</v>
      </c>
      <c r="HP11" s="43">
        <v>36.799999999999997</v>
      </c>
      <c r="HQ11" s="43"/>
      <c r="HR11" s="43">
        <v>90.03</v>
      </c>
      <c r="HS11" s="43">
        <f>(49.2*2-0.16)+(45.57+13.2)+90</f>
        <v>247.01</v>
      </c>
      <c r="HT11" s="43">
        <f>49.97+12.06</f>
        <v>62.03</v>
      </c>
      <c r="HU11" s="43">
        <v>4</v>
      </c>
      <c r="HV11" s="43"/>
      <c r="HW11" s="43"/>
      <c r="HX11" s="43">
        <v>174.24</v>
      </c>
      <c r="HY11" s="43">
        <f>49.97+48.5+40.99</f>
        <v>139.46</v>
      </c>
      <c r="HZ11" s="43">
        <v>85.3</v>
      </c>
      <c r="IA11" s="43">
        <f>196.21+11.38+240+83.98+144.29</f>
        <v>675.86</v>
      </c>
      <c r="IB11" s="43">
        <v>201.79</v>
      </c>
      <c r="IC11" s="43">
        <v>133.97</v>
      </c>
      <c r="ID11" s="43">
        <f>49.99+136.99+11.7</f>
        <v>198.68</v>
      </c>
      <c r="IE11" s="43">
        <v>323.64</v>
      </c>
      <c r="IF11" s="43">
        <f>151.89+91.94+140.26+77.96</f>
        <v>462.04999999999995</v>
      </c>
      <c r="IG11" s="43"/>
      <c r="IH11" s="43">
        <v>69.89</v>
      </c>
      <c r="II11" s="43">
        <f>49.99</f>
        <v>49.99</v>
      </c>
      <c r="IJ11" s="43"/>
      <c r="IK11" s="43">
        <v>183.08</v>
      </c>
      <c r="IL11" s="43">
        <f>8+121</f>
        <v>129</v>
      </c>
      <c r="IM11" s="43">
        <f>68.97+64.97+129.47</f>
        <v>263.40999999999997</v>
      </c>
      <c r="IN11" s="43">
        <f>49.99+70+20</f>
        <v>139.99</v>
      </c>
      <c r="IO11" s="43">
        <v>-450</v>
      </c>
      <c r="IP11" s="43"/>
      <c r="IQ11" s="43"/>
      <c r="IR11" s="43">
        <f>156.8+200+126.98+62+205.92</f>
        <v>751.69999999999993</v>
      </c>
      <c r="IS11" s="43">
        <f>49.99</f>
        <v>49.99</v>
      </c>
      <c r="IT11" s="43"/>
      <c r="IU11" s="43"/>
      <c r="IV11" s="43"/>
      <c r="IW11" s="43">
        <v>275.23</v>
      </c>
      <c r="IX11" s="43">
        <v>57.99</v>
      </c>
      <c r="IY11" s="43"/>
      <c r="IZ11" s="43"/>
      <c r="JA11" s="43"/>
      <c r="JB11" s="43"/>
      <c r="JC11" s="43">
        <f>57.99+150</f>
        <v>207.99</v>
      </c>
      <c r="JD11" s="43"/>
      <c r="JE11" s="43"/>
      <c r="JF11" s="43"/>
      <c r="JG11" s="43"/>
      <c r="JH11" s="43">
        <v>57.99</v>
      </c>
      <c r="JI11" s="43">
        <v>127.99</v>
      </c>
      <c r="JJ11" s="43">
        <v>143</v>
      </c>
      <c r="JK11" s="43"/>
      <c r="JL11" s="43">
        <v>144.43</v>
      </c>
      <c r="JM11" s="43">
        <f>58.01+106.06</f>
        <v>164.07</v>
      </c>
      <c r="JN11" s="43">
        <f>142.48+124.49</f>
        <v>266.96999999999997</v>
      </c>
      <c r="JO11" s="43">
        <f>71.66+147.48</f>
        <v>219.14</v>
      </c>
      <c r="JP11" s="43"/>
      <c r="JQ11" s="43">
        <v>198.26</v>
      </c>
      <c r="JR11" s="43">
        <f>58.01+132.5</f>
        <v>190.51</v>
      </c>
      <c r="JS11" s="43">
        <v>17</v>
      </c>
      <c r="JT11" s="43"/>
      <c r="JU11" s="43">
        <f>112.76+29.9</f>
        <v>142.66</v>
      </c>
      <c r="JV11" s="43">
        <v>147.59</v>
      </c>
      <c r="JW11" s="43">
        <f>58.01+8.43</f>
        <v>66.44</v>
      </c>
      <c r="JX11" s="43">
        <v>129.9</v>
      </c>
      <c r="JY11" s="43"/>
      <c r="JZ11" s="43"/>
      <c r="KA11" s="43">
        <f>129.9+(108.32+312.68)</f>
        <v>550.9</v>
      </c>
      <c r="KB11" s="43">
        <f>44.59</f>
        <v>44.59</v>
      </c>
      <c r="KC11" s="43"/>
      <c r="KD11" s="43"/>
      <c r="KE11" s="43">
        <v>124.49</v>
      </c>
      <c r="KF11" s="43">
        <f>129.9+71.22</f>
        <v>201.12</v>
      </c>
      <c r="KG11" s="43">
        <v>49.91</v>
      </c>
      <c r="KH11" s="43"/>
      <c r="KI11" s="43"/>
      <c r="KJ11" s="43"/>
      <c r="KK11" s="43">
        <f>129.9+73.98+360.61+(168.19+11.83+212.65-(168.2+11.83+212.65))</f>
        <v>564.48</v>
      </c>
      <c r="KL11" s="43">
        <f>49.91+45.8</f>
        <v>95.71</v>
      </c>
      <c r="KM11" s="43"/>
      <c r="KN11" s="43">
        <f>109.79+94.6</f>
        <v>204.39</v>
      </c>
      <c r="KO11" s="43"/>
      <c r="KP11" s="43">
        <f>129.9+(288.8+242.95)+217.9+47.47</f>
        <v>927.02</v>
      </c>
      <c r="KQ11" s="43">
        <f>49.91+49.91</f>
        <v>99.82</v>
      </c>
      <c r="KR11" s="43"/>
      <c r="KS11" s="43"/>
      <c r="KT11" s="43"/>
      <c r="KU11" s="43">
        <f>129.9+284.9</f>
        <v>414.79999999999995</v>
      </c>
      <c r="KV11" s="43">
        <f>232.57+149.75</f>
        <v>382.32</v>
      </c>
      <c r="KW11" s="43">
        <f>154.79+272.79</f>
        <v>427.58000000000004</v>
      </c>
      <c r="KX11" s="43">
        <v>28.93</v>
      </c>
      <c r="KY11" s="43">
        <f>83.12+13.28</f>
        <v>96.4</v>
      </c>
      <c r="KZ11" s="43">
        <v>129.9</v>
      </c>
      <c r="LA11" s="43">
        <f>49.91+174.24+96.78</f>
        <v>320.93</v>
      </c>
      <c r="LB11" s="43"/>
      <c r="LC11" s="43">
        <f>86.29+13.91</f>
        <v>100.2</v>
      </c>
      <c r="LD11" s="43">
        <f>41.91</f>
        <v>41.91</v>
      </c>
      <c r="LE11" s="43">
        <v>129.9</v>
      </c>
      <c r="LF11" s="43">
        <f>56.21+(8.79+20.82+28.35)</f>
        <v>114.17</v>
      </c>
      <c r="LG11" s="43">
        <f>43.59+119.07+11.78</f>
        <v>174.44</v>
      </c>
      <c r="LH11" s="43">
        <v>109.41</v>
      </c>
      <c r="LI11" s="43"/>
      <c r="LJ11" s="43">
        <f>129.9+106.96+1.8</f>
        <v>238.66000000000003</v>
      </c>
      <c r="LK11" s="43">
        <v>56.21</v>
      </c>
      <c r="LL11" s="43">
        <f>44.73+55.91</f>
        <v>100.63999999999999</v>
      </c>
      <c r="LM11" s="43">
        <f>60.84+76.49+101.35</f>
        <v>238.67999999999998</v>
      </c>
      <c r="LN11" s="43"/>
      <c r="LO11" s="43">
        <f>129.9+26.38</f>
        <v>156.28</v>
      </c>
      <c r="LP11" s="43">
        <f>56.21+8.44+12+207.34</f>
        <v>283.99</v>
      </c>
      <c r="LQ11" s="43"/>
      <c r="LR11" s="43">
        <v>63.31</v>
      </c>
      <c r="LS11" s="43">
        <f>11.78+9.9</f>
        <v>21.68</v>
      </c>
      <c r="LT11" s="43">
        <f>129.9+46.13+64+46.46</f>
        <v>286.49</v>
      </c>
      <c r="LU11" s="43">
        <f>56.21+97.2+47.17</f>
        <v>200.57999999999998</v>
      </c>
      <c r="LV11" s="43"/>
      <c r="LW11" s="43">
        <v>99.72</v>
      </c>
      <c r="LX11" s="43"/>
      <c r="LY11" s="43">
        <f>129.9+59+167.94</f>
        <v>356.84000000000003</v>
      </c>
      <c r="LZ11" s="43">
        <f>56.21+47.81</f>
        <v>104.02000000000001</v>
      </c>
      <c r="MA11" s="43">
        <v>400.9</v>
      </c>
      <c r="MB11" s="43"/>
      <c r="MC11" s="43">
        <v>34.549999999999997</v>
      </c>
      <c r="MD11" s="43">
        <v>129.9</v>
      </c>
      <c r="ME11" s="43">
        <f>56.21+44.05+71.01</f>
        <v>171.26999999999998</v>
      </c>
      <c r="MF11" s="43">
        <v>317.87</v>
      </c>
      <c r="MG11" s="43">
        <f>128.68+25.62</f>
        <v>154.30000000000001</v>
      </c>
      <c r="MH11" s="43">
        <v>8.15</v>
      </c>
      <c r="MI11" s="43">
        <v>129.9</v>
      </c>
      <c r="MJ11" s="43">
        <f>56.21+38.86</f>
        <v>95.07</v>
      </c>
      <c r="MK11" s="43">
        <f>190.35+43.16</f>
        <v>233.51</v>
      </c>
      <c r="ML11" s="43"/>
      <c r="MM11" s="43">
        <v>78.290000000000006</v>
      </c>
      <c r="MN11" s="43">
        <v>129.9</v>
      </c>
      <c r="MO11" s="43">
        <f>56.21+283.37</f>
        <v>339.58</v>
      </c>
      <c r="MP11" s="43"/>
      <c r="MQ11" s="43">
        <v>85.16</v>
      </c>
      <c r="MR11" s="43"/>
      <c r="MS11" s="43">
        <v>129.9</v>
      </c>
      <c r="MT11" s="43">
        <v>56.21</v>
      </c>
      <c r="MU11" s="43"/>
      <c r="MV11" s="43"/>
      <c r="MW11" s="43">
        <v>500</v>
      </c>
      <c r="MX11" s="43">
        <v>129.9</v>
      </c>
    </row>
    <row r="12" spans="1:363">
      <c r="A12" s="107"/>
      <c r="B12" s="42" t="s">
        <v>90</v>
      </c>
      <c r="C12" s="43">
        <v>7.5</v>
      </c>
      <c r="D12" s="43">
        <v>15</v>
      </c>
      <c r="E12" s="43">
        <v>27.33</v>
      </c>
      <c r="F12" s="43">
        <v>54</v>
      </c>
      <c r="G12" s="43"/>
      <c r="H12" s="43">
        <v>8.5</v>
      </c>
      <c r="I12" s="43">
        <v>19</v>
      </c>
      <c r="J12" s="43">
        <v>0</v>
      </c>
      <c r="K12" s="43">
        <v>3.96</v>
      </c>
      <c r="L12" s="43"/>
      <c r="M12" s="43">
        <v>25.98</v>
      </c>
      <c r="N12" s="43">
        <v>6</v>
      </c>
      <c r="O12" s="43">
        <v>47.8</v>
      </c>
      <c r="P12" s="43">
        <v>39.21</v>
      </c>
      <c r="Q12" s="43"/>
      <c r="R12" s="43">
        <v>9.5</v>
      </c>
      <c r="S12" s="43">
        <v>4</v>
      </c>
      <c r="T12" s="43">
        <v>42.9</v>
      </c>
      <c r="U12" s="43">
        <v>0</v>
      </c>
      <c r="V12" s="43"/>
      <c r="W12" s="43">
        <v>18.5</v>
      </c>
      <c r="X12" s="43">
        <v>10.7</v>
      </c>
      <c r="Y12" s="43">
        <v>168.45</v>
      </c>
      <c r="Z12" s="43">
        <v>7.88</v>
      </c>
      <c r="AA12" s="43"/>
      <c r="AB12" s="43">
        <v>1.3</v>
      </c>
      <c r="AC12" s="43">
        <v>2</v>
      </c>
      <c r="AD12" s="43">
        <v>0</v>
      </c>
      <c r="AE12" s="43">
        <v>3.6</v>
      </c>
      <c r="AF12" s="43"/>
      <c r="AG12" s="43">
        <v>5</v>
      </c>
      <c r="AH12" s="43">
        <v>5</v>
      </c>
      <c r="AI12" s="43">
        <v>0</v>
      </c>
      <c r="AJ12" s="43">
        <v>75.599999999999994</v>
      </c>
      <c r="AK12" s="43"/>
      <c r="AL12" s="43">
        <v>4.5</v>
      </c>
      <c r="AM12" s="43">
        <v>6</v>
      </c>
      <c r="AN12" s="43">
        <v>21.5</v>
      </c>
      <c r="AO12" s="43">
        <v>4</v>
      </c>
      <c r="AP12" s="43"/>
      <c r="AQ12" s="43">
        <v>3</v>
      </c>
      <c r="AR12" s="43">
        <v>25.2</v>
      </c>
      <c r="AS12" s="43">
        <v>24.5</v>
      </c>
      <c r="AT12" s="43">
        <v>2</v>
      </c>
      <c r="AU12" s="43"/>
      <c r="AV12" s="43">
        <v>0</v>
      </c>
      <c r="AW12" s="43">
        <v>18.5</v>
      </c>
      <c r="AX12" s="43">
        <v>82.3</v>
      </c>
      <c r="AY12" s="43">
        <v>62.77</v>
      </c>
      <c r="AZ12" s="43"/>
      <c r="BA12" s="43">
        <v>27</v>
      </c>
      <c r="BB12" s="43">
        <v>0</v>
      </c>
      <c r="BC12" s="43">
        <v>11</v>
      </c>
      <c r="BD12" s="43">
        <v>4.5</v>
      </c>
      <c r="BE12" s="43">
        <v>0</v>
      </c>
      <c r="BF12" s="43">
        <v>0</v>
      </c>
      <c r="BG12" s="43">
        <v>4.5</v>
      </c>
      <c r="BH12" s="43">
        <v>49.309999999999995</v>
      </c>
      <c r="BI12" s="43">
        <v>0</v>
      </c>
      <c r="BJ12" s="43">
        <v>11.8</v>
      </c>
      <c r="BK12" s="43">
        <v>17.899999999999999</v>
      </c>
      <c r="BL12" s="43">
        <v>5</v>
      </c>
      <c r="BM12" s="43">
        <v>44.78</v>
      </c>
      <c r="BN12" s="43">
        <v>81.180000000000007</v>
      </c>
      <c r="BO12" s="43">
        <v>135.94999999999999</v>
      </c>
      <c r="BP12" s="43">
        <v>22.5</v>
      </c>
      <c r="BQ12" s="43">
        <v>0</v>
      </c>
      <c r="BR12" s="43">
        <v>77.569999999999993</v>
      </c>
      <c r="BS12" s="43">
        <v>57.9</v>
      </c>
      <c r="BT12" s="43">
        <v>0</v>
      </c>
      <c r="BU12" s="43">
        <v>29.79</v>
      </c>
      <c r="BV12" s="43">
        <v>4</v>
      </c>
      <c r="BW12" s="43">
        <v>20.25</v>
      </c>
      <c r="BX12" s="43">
        <v>0</v>
      </c>
      <c r="BY12" s="43">
        <v>36.090000000000003</v>
      </c>
      <c r="BZ12" s="43">
        <v>0</v>
      </c>
      <c r="CA12" s="43">
        <v>0</v>
      </c>
      <c r="CB12" s="43">
        <v>12.9</v>
      </c>
      <c r="CC12" s="43">
        <v>0</v>
      </c>
      <c r="CD12" s="43">
        <v>0</v>
      </c>
      <c r="CE12" s="43">
        <v>16</v>
      </c>
      <c r="CF12" s="43">
        <v>12.3</v>
      </c>
      <c r="CG12" s="43">
        <v>10.9</v>
      </c>
      <c r="CH12" s="43">
        <v>102.22999999999999</v>
      </c>
      <c r="CI12" s="43">
        <v>0</v>
      </c>
      <c r="CJ12" s="43">
        <v>33</v>
      </c>
      <c r="CK12" s="43">
        <v>23.58</v>
      </c>
      <c r="CL12" s="43">
        <v>75.259999999999991</v>
      </c>
      <c r="CM12" s="43">
        <v>40.299999999999997</v>
      </c>
      <c r="CN12" s="43">
        <v>0</v>
      </c>
      <c r="CO12" s="43">
        <v>0</v>
      </c>
      <c r="CP12" s="43">
        <v>10.59</v>
      </c>
      <c r="CQ12" s="43">
        <v>0</v>
      </c>
      <c r="CR12" s="43">
        <v>67.610000000000014</v>
      </c>
      <c r="CS12" s="43">
        <v>0</v>
      </c>
      <c r="CT12" s="43">
        <v>26.099999999999998</v>
      </c>
      <c r="CU12" s="43">
        <v>28.490000000000002</v>
      </c>
      <c r="CV12" s="43">
        <v>49.8</v>
      </c>
      <c r="CW12" s="43">
        <v>8</v>
      </c>
      <c r="CX12" s="43">
        <v>281.37999999999994</v>
      </c>
      <c r="CY12" s="43">
        <v>6</v>
      </c>
      <c r="CZ12" s="43">
        <v>5.5</v>
      </c>
      <c r="DA12" s="43">
        <v>0</v>
      </c>
      <c r="DB12" s="43">
        <v>0</v>
      </c>
      <c r="DC12" s="43">
        <v>612.05000000000007</v>
      </c>
      <c r="DD12" s="43">
        <v>66</v>
      </c>
      <c r="DE12" s="43">
        <v>14.5</v>
      </c>
      <c r="DF12" s="43">
        <v>4</v>
      </c>
      <c r="DG12" s="43">
        <v>22.4</v>
      </c>
      <c r="DH12" s="43">
        <v>433.69</v>
      </c>
      <c r="DI12" s="43">
        <v>23.48</v>
      </c>
      <c r="DJ12" s="43">
        <v>12</v>
      </c>
      <c r="DK12" s="43">
        <v>0</v>
      </c>
      <c r="DL12" s="43">
        <v>4</v>
      </c>
      <c r="DM12" s="43">
        <v>330.95000000000005</v>
      </c>
      <c r="DN12" s="43">
        <v>33.6</v>
      </c>
      <c r="DO12" s="43">
        <v>14.98</v>
      </c>
      <c r="DP12" s="43">
        <v>8</v>
      </c>
      <c r="DQ12" s="43">
        <v>0</v>
      </c>
      <c r="DR12" s="43">
        <v>190.42000000000002</v>
      </c>
      <c r="DS12" s="43">
        <v>30.1</v>
      </c>
      <c r="DT12" s="43">
        <v>11.49</v>
      </c>
      <c r="DU12" s="43">
        <v>3</v>
      </c>
      <c r="DV12" s="43">
        <v>5.92</v>
      </c>
      <c r="DW12" s="43">
        <v>221.5</v>
      </c>
      <c r="DX12" s="43">
        <v>4.25</v>
      </c>
      <c r="DY12" s="43">
        <v>22.5</v>
      </c>
      <c r="DZ12" s="43">
        <v>60.1</v>
      </c>
      <c r="EA12" s="43">
        <v>7.24</v>
      </c>
      <c r="EB12" s="43">
        <v>527</v>
      </c>
      <c r="EC12" s="43">
        <v>13</v>
      </c>
      <c r="ED12" s="43">
        <v>16.89</v>
      </c>
      <c r="EE12" s="43">
        <v>46.62</v>
      </c>
      <c r="EF12" s="43">
        <v>71.48</v>
      </c>
      <c r="EG12" s="43">
        <v>309.37</v>
      </c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>
        <v>39.49</v>
      </c>
      <c r="II12" s="43">
        <v>12.5</v>
      </c>
      <c r="IJ12" s="43"/>
      <c r="IK12" s="43">
        <v>16.8</v>
      </c>
      <c r="IL12" s="43"/>
      <c r="IM12" s="43"/>
      <c r="IN12" s="43"/>
      <c r="IO12" s="43">
        <f>19+5.49</f>
        <v>24.490000000000002</v>
      </c>
      <c r="IP12" s="43">
        <v>8</v>
      </c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>
        <v>7.9</v>
      </c>
      <c r="JF12" s="43">
        <f>((50))</f>
        <v>50</v>
      </c>
      <c r="JG12" s="43">
        <f>((49.02+46.49+42.73))</f>
        <v>138.24</v>
      </c>
      <c r="JH12" s="43"/>
      <c r="JI12" s="43"/>
      <c r="JJ12" s="43"/>
      <c r="JK12" s="43"/>
      <c r="JL12" s="43"/>
      <c r="JM12" s="43">
        <v>6.7</v>
      </c>
      <c r="JN12" s="43"/>
      <c r="JO12" s="43"/>
      <c r="JP12" s="43"/>
      <c r="JQ12" s="43">
        <f>13.96+32.49</f>
        <v>46.45</v>
      </c>
      <c r="JR12" s="43"/>
      <c r="JS12" s="43"/>
      <c r="JT12" s="43"/>
      <c r="JU12" s="43">
        <v>41.9</v>
      </c>
      <c r="JV12" s="43">
        <v>33.979999999999997</v>
      </c>
      <c r="JW12" s="43">
        <f>32+82.12+(16+45+43+25)+35.9</f>
        <v>279.02</v>
      </c>
      <c r="JX12" s="43"/>
      <c r="JY12" s="43"/>
      <c r="JZ12" s="43"/>
      <c r="KA12" s="43">
        <f>57.75+100+43</f>
        <v>200.75</v>
      </c>
      <c r="KB12" s="43">
        <v>31.8</v>
      </c>
      <c r="KC12" s="43"/>
      <c r="KD12" s="43"/>
      <c r="KE12" s="43"/>
      <c r="KF12" s="43">
        <v>23.98</v>
      </c>
      <c r="KG12" s="43"/>
      <c r="KH12" s="43"/>
      <c r="KI12" s="43"/>
      <c r="KJ12" s="43"/>
      <c r="KK12" s="43">
        <v>47.7</v>
      </c>
      <c r="KL12" s="43"/>
      <c r="KM12" s="43"/>
      <c r="KN12" s="43"/>
      <c r="KO12" s="43"/>
      <c r="KP12" s="43">
        <f>22.5+73.48</f>
        <v>95.98</v>
      </c>
      <c r="KQ12" s="43"/>
      <c r="KR12" s="43">
        <v>16.97</v>
      </c>
      <c r="KS12" s="43">
        <f>17+27.47</f>
        <v>44.47</v>
      </c>
      <c r="KT12" s="43">
        <f>50.89+17.97+34.9</f>
        <v>103.75999999999999</v>
      </c>
      <c r="KU12" s="43">
        <v>36.770000000000003</v>
      </c>
      <c r="KV12" s="43"/>
      <c r="KW12" s="43"/>
      <c r="KX12" s="43">
        <v>16.89</v>
      </c>
      <c r="KY12" s="43">
        <v>46.89</v>
      </c>
      <c r="KZ12" s="43"/>
      <c r="LA12" s="43">
        <f>21.99+22.98+30.5+21.99</f>
        <v>97.46</v>
      </c>
      <c r="LB12" s="43">
        <f>18.99+16.89</f>
        <v>35.879999999999995</v>
      </c>
      <c r="LC12" s="43">
        <v>16.89</v>
      </c>
      <c r="LD12" s="43">
        <f>22.4+18.99+26.98</f>
        <v>68.37</v>
      </c>
      <c r="LE12" s="43"/>
      <c r="LF12" s="43"/>
      <c r="LG12" s="43"/>
      <c r="LH12" s="43"/>
      <c r="LI12" s="43">
        <f>47.98+24+26.5</f>
        <v>98.47999999999999</v>
      </c>
      <c r="LJ12" s="43">
        <f>52.98+45.99+45.99+42.9</f>
        <v>187.86</v>
      </c>
      <c r="LK12" s="43">
        <v>10.35</v>
      </c>
      <c r="LL12" s="43">
        <v>39</v>
      </c>
      <c r="LM12" s="43">
        <f>16.89+62.1+19.5+31.9</f>
        <v>130.39000000000001</v>
      </c>
      <c r="LN12" s="43">
        <v>19.850000000000001</v>
      </c>
      <c r="LO12" s="43">
        <f>(14.9+14)+37.99+50+37.9</f>
        <v>154.79</v>
      </c>
      <c r="LP12" s="43"/>
      <c r="LQ12" s="43">
        <f>20+18.7</f>
        <v>38.700000000000003</v>
      </c>
      <c r="LR12" s="43">
        <v>37.549999999999997</v>
      </c>
      <c r="LS12" s="43">
        <v>30.98</v>
      </c>
      <c r="LT12" s="43">
        <f>47.99+21.98+36.8+36.8+27.89</f>
        <v>171.45999999999998</v>
      </c>
      <c r="LU12" s="43"/>
      <c r="LV12" s="43">
        <v>13</v>
      </c>
      <c r="LW12" s="43"/>
      <c r="LX12" s="43"/>
      <c r="LY12" s="43">
        <f>48.9+38.9+33.79+37.8+8.4+33.89</f>
        <v>201.68</v>
      </c>
      <c r="LZ12" s="43"/>
      <c r="MA12" s="43">
        <f>47.3+10.79</f>
        <v>58.089999999999996</v>
      </c>
      <c r="MB12" s="43"/>
      <c r="MC12" s="43">
        <f>44+21+32.95+38.99+21.5+33.3+7.5+30.9</f>
        <v>230.14000000000001</v>
      </c>
      <c r="MD12" s="43">
        <f>42.99+13.89+37.8+45.8+17.99+30.9+44.8</f>
        <v>234.17000000000002</v>
      </c>
      <c r="ME12" s="43">
        <f>21.65+29.01+30+28.5</f>
        <v>109.16</v>
      </c>
      <c r="MF12" s="43">
        <f>7.99+34.78+26.98+26+42</f>
        <v>137.75</v>
      </c>
      <c r="MG12" s="43">
        <f>21.99+26+37.8</f>
        <v>85.789999999999992</v>
      </c>
      <c r="MH12" s="43">
        <f>32.95+38.9+25.99</f>
        <v>97.839999999999989</v>
      </c>
      <c r="MI12" s="43">
        <f>18.89+38.99</f>
        <v>57.88</v>
      </c>
      <c r="MJ12" s="43">
        <f>37.8+13.9+30+22.9</f>
        <v>104.6</v>
      </c>
      <c r="MK12" s="43"/>
      <c r="ML12" s="43">
        <f>18+10</f>
        <v>28</v>
      </c>
      <c r="MM12" s="43">
        <f>62+25.9</f>
        <v>87.9</v>
      </c>
      <c r="MN12" s="43">
        <f>38.99+18.99+37.8+35.69+13.9+28.89</f>
        <v>174.26</v>
      </c>
      <c r="MO12" s="43">
        <f>19.69+18</f>
        <v>37.69</v>
      </c>
      <c r="MP12" s="43"/>
      <c r="MQ12" s="43"/>
      <c r="MR12" s="43"/>
      <c r="MS12" s="43">
        <f>28.5+20.95+30+46.1+26.99+8.02+37.8+21.99+27.99+9.9+35.5+29.99+35.94+45.42+12.5+46.89+29.4+26+21.99</f>
        <v>541.87</v>
      </c>
      <c r="MT12" s="43">
        <f>15+40</f>
        <v>55</v>
      </c>
      <c r="MU12" s="43"/>
      <c r="MV12" s="43"/>
      <c r="MW12" s="43"/>
      <c r="MX12" s="43">
        <f>22.89+37.9+21.99+64.68</f>
        <v>147.46</v>
      </c>
      <c r="MY12" s="2"/>
    </row>
    <row r="13" spans="1:363">
      <c r="A13" s="107"/>
      <c r="B13" s="42" t="s">
        <v>91</v>
      </c>
      <c r="C13" s="43">
        <v>71</v>
      </c>
      <c r="D13" s="43">
        <v>30.07</v>
      </c>
      <c r="E13" s="43">
        <f>44.4</f>
        <v>44.4</v>
      </c>
      <c r="F13" s="43">
        <v>117.92</v>
      </c>
      <c r="G13" s="43"/>
      <c r="H13" s="43"/>
      <c r="I13" s="43">
        <f>44</f>
        <v>44</v>
      </c>
      <c r="J13" s="43">
        <v>46.26</v>
      </c>
      <c r="K13" s="43"/>
      <c r="L13" s="43"/>
      <c r="M13" s="43">
        <v>18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>
        <v>15.67</v>
      </c>
      <c r="Z13" s="43"/>
      <c r="AA13" s="43"/>
      <c r="AB13" s="43">
        <v>12</v>
      </c>
      <c r="AC13" s="43"/>
      <c r="AD13" s="43"/>
      <c r="AE13" s="43">
        <v>22</v>
      </c>
      <c r="AF13" s="43"/>
      <c r="AG13" s="43">
        <f>25+25</f>
        <v>50</v>
      </c>
      <c r="AH13" s="43">
        <v>34</v>
      </c>
      <c r="AI13" s="43">
        <f>6+53.82</f>
        <v>59.82</v>
      </c>
      <c r="AJ13" s="43">
        <v>47.96</v>
      </c>
      <c r="AK13" s="43"/>
      <c r="AL13" s="43"/>
      <c r="AM13" s="43"/>
      <c r="AN13" s="43">
        <v>45.3</v>
      </c>
      <c r="AO13" s="43"/>
      <c r="AP13" s="43"/>
      <c r="AQ13" s="43"/>
      <c r="AR13" s="43"/>
      <c r="AS13" s="43"/>
      <c r="AT13" s="43"/>
      <c r="AU13" s="43"/>
      <c r="AV13" s="43"/>
      <c r="AW13" s="43">
        <f>250+20.5+8.5</f>
        <v>279</v>
      </c>
      <c r="AX13" s="43">
        <v>45.78</v>
      </c>
      <c r="AY13" s="43">
        <v>9</v>
      </c>
      <c r="AZ13" s="43"/>
      <c r="BA13" s="43"/>
      <c r="BB13" s="43">
        <v>32.9</v>
      </c>
      <c r="BC13" s="43">
        <v>50</v>
      </c>
      <c r="BD13" s="43"/>
      <c r="BE13" s="43"/>
      <c r="BF13" s="43"/>
      <c r="BG13" s="43">
        <f>65+50</f>
        <v>115</v>
      </c>
      <c r="BH13" s="43">
        <v>75.239999999999995</v>
      </c>
      <c r="BI13" s="43"/>
      <c r="BJ13" s="43"/>
      <c r="BK13" s="43"/>
      <c r="BL13" s="43"/>
      <c r="BM13" s="43"/>
      <c r="BN13" s="43"/>
      <c r="BO13" s="43">
        <v>62.04</v>
      </c>
      <c r="BP13" s="43"/>
      <c r="BQ13" s="43">
        <f>33.29+13.99+24.83-50</f>
        <v>22.11</v>
      </c>
      <c r="BR13" s="43">
        <v>10</v>
      </c>
      <c r="BS13" s="43">
        <f>109.39+22.48+20</f>
        <v>151.87</v>
      </c>
      <c r="BT13" s="43"/>
      <c r="BU13" s="43">
        <v>147.4</v>
      </c>
      <c r="BV13" s="43"/>
      <c r="BW13" s="43"/>
      <c r="BX13" s="43"/>
      <c r="BY13" s="43">
        <v>319.43</v>
      </c>
      <c r="BZ13" s="43"/>
      <c r="CA13" s="43"/>
      <c r="CB13" s="43"/>
      <c r="CC13" s="43"/>
      <c r="CD13" s="43"/>
      <c r="CE13" s="43">
        <v>118.22</v>
      </c>
      <c r="CF13" s="43">
        <v>40.700000000000003</v>
      </c>
      <c r="CG13" s="43"/>
      <c r="CH13" s="43"/>
      <c r="CI13" s="43">
        <v>9.9</v>
      </c>
      <c r="CJ13" s="43"/>
      <c r="CK13" s="43"/>
      <c r="CL13" s="43"/>
      <c r="CM13" s="43"/>
      <c r="CN13" s="43"/>
      <c r="CO13" s="43">
        <v>138.16</v>
      </c>
      <c r="CP13" s="43"/>
      <c r="CQ13" s="43"/>
      <c r="CR13" s="43">
        <f>40.4+20.2+6.7+20+46.82</f>
        <v>134.12</v>
      </c>
      <c r="CS13" s="43">
        <f>80.2+12.5+37+47.19+49.56+(396+12.52+41.69+29.9+7.75+8.05+9.19+6.9+51+8.43+5.7+5.44+8.17)+10</f>
        <v>827.19</v>
      </c>
      <c r="CT13" s="43"/>
      <c r="CU13" s="43"/>
      <c r="CV13" s="43"/>
      <c r="CW13" s="43"/>
      <c r="CX13" s="43">
        <f>97.7+50.33</f>
        <v>148.03</v>
      </c>
      <c r="CY13" s="43">
        <f>(25)</f>
        <v>25</v>
      </c>
      <c r="CZ13" s="43">
        <f>(100)</f>
        <v>100</v>
      </c>
      <c r="DA13" s="43"/>
      <c r="DB13" s="43"/>
      <c r="DC13" s="43">
        <f>(50.1+88+15.25+102.85+135.5+12.5+15+71.9)</f>
        <v>491.1</v>
      </c>
      <c r="DD13" s="43"/>
      <c r="DE13" s="43"/>
      <c r="DF13" s="43">
        <v>3.9</v>
      </c>
      <c r="DG13" s="43"/>
      <c r="DH13" s="43">
        <f>40.43+12.9+63.64</f>
        <v>116.97</v>
      </c>
      <c r="DI13" s="43"/>
      <c r="DJ13" s="43"/>
      <c r="DK13" s="43"/>
      <c r="DL13" s="43"/>
      <c r="DM13" s="43">
        <f>50.38+180</f>
        <v>230.38</v>
      </c>
      <c r="DN13" s="43"/>
      <c r="DO13" s="43"/>
      <c r="DP13" s="43">
        <v>50</v>
      </c>
      <c r="DQ13" s="43"/>
      <c r="DR13" s="43">
        <f>103+78.63+43.45+20+66.82</f>
        <v>311.89999999999998</v>
      </c>
      <c r="DS13" s="43"/>
      <c r="DT13" s="43"/>
      <c r="DU13" s="43"/>
      <c r="DV13" s="43"/>
      <c r="DW13" s="43">
        <f>45.57+61.55+10.45+(41.1*6-1.82)+48+5.9+170.94</f>
        <v>587.19000000000005</v>
      </c>
      <c r="DX13" s="43"/>
      <c r="DY13" s="43"/>
      <c r="DZ13" s="43"/>
      <c r="EA13" s="43"/>
      <c r="EB13" s="44"/>
      <c r="EC13" s="43"/>
      <c r="ED13" s="43"/>
      <c r="EE13" s="43"/>
      <c r="EF13" s="43"/>
      <c r="EG13" s="43">
        <f>22.03+49.91</f>
        <v>71.94</v>
      </c>
      <c r="EH13" s="45"/>
      <c r="EI13" s="43">
        <v>12.99</v>
      </c>
      <c r="EJ13" s="43"/>
      <c r="EK13" s="43">
        <v>9.43</v>
      </c>
      <c r="EL13" s="43">
        <v>297.29999999999995</v>
      </c>
      <c r="EM13" s="43"/>
      <c r="EN13" s="43"/>
      <c r="EO13" s="43"/>
      <c r="EP13" s="43"/>
      <c r="EQ13" s="43">
        <v>27.9</v>
      </c>
      <c r="ER13" s="43"/>
      <c r="ES13" s="43"/>
      <c r="ET13" s="43"/>
      <c r="EU13" s="43"/>
      <c r="EV13" s="43">
        <v>16.89</v>
      </c>
      <c r="EW13" s="43"/>
      <c r="EX13" s="43"/>
      <c r="EY13" s="43"/>
      <c r="EZ13" s="43"/>
      <c r="FA13" s="43"/>
      <c r="FB13" s="43"/>
      <c r="FC13" s="43"/>
      <c r="FD13" s="43"/>
      <c r="FE13" s="43"/>
      <c r="FF13" s="43">
        <v>10.8</v>
      </c>
      <c r="FG13" s="43"/>
      <c r="FH13" s="43"/>
      <c r="FI13" s="43"/>
      <c r="FJ13" s="43"/>
      <c r="FK13" s="43"/>
      <c r="FL13" s="43"/>
      <c r="FM13" s="43"/>
      <c r="FN13" s="43"/>
      <c r="FO13" s="43"/>
      <c r="FP13" s="43">
        <v>93.84</v>
      </c>
      <c r="FQ13" s="43"/>
      <c r="FR13" s="43"/>
      <c r="FS13" s="43"/>
      <c r="FT13" s="43"/>
      <c r="FU13" s="43">
        <f>13.98+97.9+18+12.9</f>
        <v>142.78</v>
      </c>
      <c r="FV13" s="43">
        <f>15+(42+20.11)</f>
        <v>77.11</v>
      </c>
      <c r="FW13" s="43"/>
      <c r="FX13" s="43">
        <v>240</v>
      </c>
      <c r="FY13" s="43">
        <f>16.75+77+39.9+25.48+15</f>
        <v>174.13</v>
      </c>
      <c r="FZ13" s="43"/>
      <c r="GA13" s="43">
        <v>217.9</v>
      </c>
      <c r="GB13" s="43"/>
      <c r="GC13" s="43">
        <f>7+18.98+2+15</f>
        <v>42.980000000000004</v>
      </c>
      <c r="GD13" s="43"/>
      <c r="GE13" s="43">
        <f>14+74.97+48+50+50+28.08+20.9</f>
        <v>285.95</v>
      </c>
      <c r="GF13" s="43"/>
      <c r="GG13" s="43"/>
      <c r="GH13" s="43">
        <f>185.53+13.5</f>
        <v>199.03</v>
      </c>
      <c r="GI13" s="43"/>
      <c r="GJ13" s="43">
        <v>128.96</v>
      </c>
      <c r="GK13" s="43"/>
      <c r="GL13" s="43"/>
      <c r="GM13" s="43">
        <v>15.9</v>
      </c>
      <c r="GN13" s="43"/>
      <c r="GO13" s="43">
        <f>34.9+61.45</f>
        <v>96.35</v>
      </c>
      <c r="GP13" s="43"/>
      <c r="GQ13" s="43">
        <v>19</v>
      </c>
      <c r="GR13" s="43">
        <f>150+22.4</f>
        <v>172.4</v>
      </c>
      <c r="GS13" s="43"/>
      <c r="GT13" s="43">
        <v>237.6</v>
      </c>
      <c r="GU13" s="43"/>
      <c r="GV13" s="43"/>
      <c r="GW13" s="43"/>
      <c r="GX13" s="43"/>
      <c r="GY13" s="43">
        <v>71.290000000000006</v>
      </c>
      <c r="GZ13" s="43"/>
      <c r="HA13" s="43"/>
      <c r="HB13" s="43"/>
      <c r="HC13" s="43"/>
      <c r="HD13" s="43">
        <f>39.9</f>
        <v>39.9</v>
      </c>
      <c r="HE13" s="43"/>
      <c r="HF13" s="43"/>
      <c r="HG13" s="43"/>
      <c r="HH13" s="43"/>
      <c r="HI13" s="43">
        <v>60</v>
      </c>
      <c r="HJ13" s="43"/>
      <c r="HK13" s="43"/>
      <c r="HL13" s="43"/>
      <c r="HM13" s="43"/>
      <c r="HN13" s="43">
        <v>76.010000000000005</v>
      </c>
      <c r="HO13" s="43"/>
      <c r="HP13" s="43"/>
      <c r="HQ13" s="43">
        <v>217.69</v>
      </c>
      <c r="HR13" s="43">
        <v>18.18</v>
      </c>
      <c r="HS13" s="43"/>
      <c r="HT13" s="43">
        <f>135.98+4</f>
        <v>139.97999999999999</v>
      </c>
      <c r="HU13" s="43"/>
      <c r="HV13" s="43">
        <v>188.88</v>
      </c>
      <c r="HW13" s="43">
        <v>73.900000000000006</v>
      </c>
      <c r="HX13" s="43">
        <f>106.3+124.39+39.99+68</f>
        <v>338.68</v>
      </c>
      <c r="HY13" s="43">
        <f>46+32.3</f>
        <v>78.3</v>
      </c>
      <c r="HZ13" s="43"/>
      <c r="IA13" s="43"/>
      <c r="IB13" s="43">
        <v>119.29</v>
      </c>
      <c r="IC13" s="43"/>
      <c r="ID13" s="43"/>
      <c r="IE13" s="43">
        <f>103.49+48.99+82</f>
        <v>234.48</v>
      </c>
      <c r="IF13" s="43">
        <f>84.5</f>
        <v>84.5</v>
      </c>
      <c r="IG13" s="43"/>
      <c r="IH13" s="43"/>
      <c r="II13" s="43"/>
      <c r="IJ13" s="43"/>
      <c r="IK13" s="43">
        <v>19</v>
      </c>
      <c r="IL13" s="43">
        <v>10.9</v>
      </c>
      <c r="IM13" s="43">
        <f>68+40.99+55.49+44.99+50.19+46.89</f>
        <v>306.55</v>
      </c>
      <c r="IN13" s="43"/>
      <c r="IO13" s="43"/>
      <c r="IP13" s="43"/>
      <c r="IQ13" s="43">
        <v>19</v>
      </c>
      <c r="IR13" s="43">
        <f>59.49+84.48</f>
        <v>143.97</v>
      </c>
      <c r="IS13" s="43"/>
      <c r="IT13" s="43"/>
      <c r="IU13" s="43"/>
      <c r="IV13" s="43"/>
      <c r="IW13" s="43">
        <f>154.34+233.41+12+62+49.44+77+91.75+39.19</f>
        <v>719.13000000000011</v>
      </c>
      <c r="IX13" s="43"/>
      <c r="IY13" s="43"/>
      <c r="IZ13" s="43"/>
      <c r="JA13" s="43"/>
      <c r="JB13" s="43">
        <f>109.89+74.99+250+26+48.99</f>
        <v>509.87</v>
      </c>
      <c r="JC13" s="43"/>
      <c r="JD13" s="43"/>
      <c r="JE13" s="43">
        <f>63.89+(168.13-80)+189.48</f>
        <v>341.5</v>
      </c>
      <c r="JF13" s="43">
        <f>145.64+39.9+8+51.49</f>
        <v>245.03</v>
      </c>
      <c r="JG13" s="43">
        <f>33.99+25.88+155.34+32.99+124.49</f>
        <v>372.69</v>
      </c>
      <c r="JH13" s="43">
        <f>114.12+20+83.01</f>
        <v>217.13</v>
      </c>
      <c r="JI13" s="43">
        <v>25.8</v>
      </c>
      <c r="JJ13" s="43"/>
      <c r="JK13" s="43">
        <f>94.99+74.02+44.98</f>
        <v>213.98999999999998</v>
      </c>
      <c r="JL13" s="43">
        <f>54.97+39.9+58.9+12+(16.5+13.9+20+12)</f>
        <v>228.17000000000002</v>
      </c>
      <c r="JM13" s="43">
        <f>200+28.98+84.9</f>
        <v>313.88</v>
      </c>
      <c r="JN13" s="43"/>
      <c r="JO13" s="43">
        <v>55.99</v>
      </c>
      <c r="JP13" s="43"/>
      <c r="JQ13" s="43">
        <f>39.9+100+23.99+39.19+(84.9+47.99)+142</f>
        <v>477.97</v>
      </c>
      <c r="JR13" s="43"/>
      <c r="JS13" s="43">
        <v>73</v>
      </c>
      <c r="JT13" s="43">
        <f>134.7-46-48.5</f>
        <v>40.199999999999989</v>
      </c>
      <c r="JU13" s="43">
        <f>98.5-20+69.93</f>
        <v>148.43</v>
      </c>
      <c r="JV13" s="43">
        <f>39.9+147.89+13+74.79+152.49+79+38.7+13</f>
        <v>558.77</v>
      </c>
      <c r="JW13" s="43">
        <v>73.3</v>
      </c>
      <c r="JX13" s="43"/>
      <c r="JY13" s="43"/>
      <c r="JZ13" s="43"/>
      <c r="KA13" s="43">
        <f>309.12+299.39+13</f>
        <v>621.51</v>
      </c>
      <c r="KB13" s="43"/>
      <c r="KC13" s="43"/>
      <c r="KD13" s="43"/>
      <c r="KE13" s="43">
        <f>38.76+20+13</f>
        <v>71.759999999999991</v>
      </c>
      <c r="KF13" s="43">
        <f>147.48+53.95+147.48-50-6+122.43+(13+6.98+361.26)+46.37</f>
        <v>842.94999999999993</v>
      </c>
      <c r="KG13" s="43">
        <v>170</v>
      </c>
      <c r="KH13" s="43"/>
      <c r="KI13" s="43"/>
      <c r="KJ13" s="43"/>
      <c r="KK13" s="43">
        <f>356.39+57.09+26+35.4+125+(12+13+13)+18+28.38+75.99-19</f>
        <v>741.25</v>
      </c>
      <c r="KL13" s="43">
        <v>31.5</v>
      </c>
      <c r="KM13" s="43">
        <v>99.66</v>
      </c>
      <c r="KN13" s="43"/>
      <c r="KO13" s="43">
        <f>15.5+6+343.86+48.4+17+37</f>
        <v>467.76</v>
      </c>
      <c r="KP13" s="43">
        <f>90+20+25.8+(192.62+85.63-47.47-100)+104.6+13+27.8+71.9</f>
        <v>483.88000000000011</v>
      </c>
      <c r="KQ13" s="43">
        <v>13</v>
      </c>
      <c r="KR13" s="43">
        <f>14+21.25+36.95</f>
        <v>72.2</v>
      </c>
      <c r="KS13" s="43">
        <v>19.8</v>
      </c>
      <c r="KT13" s="43"/>
      <c r="KU13" s="43">
        <f>14+25.8+51+28.8+100+20+10+6+332.31+155+14</f>
        <v>756.91</v>
      </c>
      <c r="KV13" s="43">
        <f>25.68+114+66.99</f>
        <v>206.67000000000002</v>
      </c>
      <c r="KW13" s="43">
        <v>69.900000000000006</v>
      </c>
      <c r="KX13" s="43">
        <f>18+26</f>
        <v>44</v>
      </c>
      <c r="KY13" s="43">
        <f>11.9+11.35</f>
        <v>23.25</v>
      </c>
      <c r="KZ13" s="43"/>
      <c r="LA13" s="43">
        <f>27.88+15.8+114</f>
        <v>157.68</v>
      </c>
      <c r="LB13" s="43">
        <f>146.66</f>
        <v>146.66</v>
      </c>
      <c r="LC13" s="43"/>
      <c r="LD13" s="43"/>
      <c r="LE13" s="43"/>
      <c r="LF13" s="43"/>
      <c r="LG13" s="43"/>
      <c r="LH13" s="43">
        <f>15+132</f>
        <v>147</v>
      </c>
      <c r="LI13" s="43">
        <f>14+23.54+11.9+34</f>
        <v>83.44</v>
      </c>
      <c r="LJ13" s="43">
        <v>16.89</v>
      </c>
      <c r="LK13" s="43">
        <v>52.98</v>
      </c>
      <c r="LL13" s="43">
        <f>19.99+14.95+29.85</f>
        <v>64.789999999999992</v>
      </c>
      <c r="LM13" s="43"/>
      <c r="LN13" s="43">
        <f>47.98+16.4+101.53+16.07</f>
        <v>181.98</v>
      </c>
      <c r="LO13" s="43">
        <f>38.7+(92.45+22.5+26+16.5+16)</f>
        <v>212.14999999999998</v>
      </c>
      <c r="LP13" s="43">
        <v>81.400000000000006</v>
      </c>
      <c r="LQ13" s="43"/>
      <c r="LR13" s="43"/>
      <c r="LS13" s="43">
        <f>126.98+53.79+14</f>
        <v>194.77</v>
      </c>
      <c r="LT13" s="43">
        <f>63.89+35.9+19.8</f>
        <v>119.58999999999999</v>
      </c>
      <c r="LU13" s="43">
        <v>40</v>
      </c>
      <c r="LV13" s="43">
        <f>4+81.26</f>
        <v>85.26</v>
      </c>
      <c r="LW13" s="43"/>
      <c r="LX13" s="43">
        <f>186+18.5</f>
        <v>204.5</v>
      </c>
      <c r="LY13" s="43">
        <f>6+118+45.7+88.32</f>
        <v>258.02</v>
      </c>
      <c r="LZ13" s="43"/>
      <c r="MA13" s="43"/>
      <c r="MB13" s="43">
        <v>248.64</v>
      </c>
      <c r="MC13" s="43">
        <v>29.12</v>
      </c>
      <c r="MD13" s="43">
        <f>219.07+56.18+68.99</f>
        <v>344.24</v>
      </c>
      <c r="ME13" s="43"/>
      <c r="MF13" s="43">
        <v>30.97</v>
      </c>
      <c r="MG13" s="43">
        <v>110</v>
      </c>
      <c r="MH13" s="43">
        <f>74.6+13.4</f>
        <v>88</v>
      </c>
      <c r="MI13" s="43"/>
      <c r="MJ13" s="43"/>
      <c r="MK13" s="43">
        <v>37.18</v>
      </c>
      <c r="ML13" s="43"/>
      <c r="MM13" s="43"/>
      <c r="MN13" s="43"/>
      <c r="MO13" s="43"/>
      <c r="MP13" s="43"/>
      <c r="MQ13" s="43"/>
      <c r="MR13" s="43"/>
      <c r="MS13" s="43">
        <f>314.14+69.9+108.89</f>
        <v>492.92999999999995</v>
      </c>
      <c r="MT13" s="43"/>
      <c r="MU13" s="43"/>
      <c r="MV13" s="43"/>
      <c r="MW13" s="43"/>
      <c r="MX13" s="43">
        <f>114.67+195.94</f>
        <v>310.61</v>
      </c>
    </row>
    <row r="14" spans="1:363">
      <c r="A14" s="107"/>
      <c r="B14" s="42" t="s">
        <v>92</v>
      </c>
      <c r="C14" s="43"/>
      <c r="D14" s="43"/>
      <c r="E14" s="43"/>
      <c r="F14" s="43">
        <v>200</v>
      </c>
      <c r="G14" s="43"/>
      <c r="H14" s="43"/>
      <c r="I14" s="43"/>
      <c r="J14" s="43"/>
      <c r="K14" s="43">
        <f>202+2125.26</f>
        <v>2327.2600000000002</v>
      </c>
      <c r="L14" s="43"/>
      <c r="M14" s="43"/>
      <c r="N14" s="43"/>
      <c r="O14" s="43"/>
      <c r="P14" s="43">
        <v>202</v>
      </c>
      <c r="Q14" s="43"/>
      <c r="R14" s="43"/>
      <c r="S14" s="43"/>
      <c r="T14" s="43"/>
      <c r="U14" s="43">
        <f>202+110</f>
        <v>312</v>
      </c>
      <c r="V14" s="43"/>
      <c r="W14" s="43"/>
      <c r="X14" s="43"/>
      <c r="Y14" s="43"/>
      <c r="Z14" s="43">
        <v>202</v>
      </c>
      <c r="AA14" s="43"/>
      <c r="AB14" s="43"/>
      <c r="AC14" s="43"/>
      <c r="AD14" s="43"/>
      <c r="AE14" s="43">
        <v>202</v>
      </c>
      <c r="AF14" s="43"/>
      <c r="AG14" s="43"/>
      <c r="AH14" s="43"/>
      <c r="AI14" s="43"/>
      <c r="AJ14" s="43">
        <v>202</v>
      </c>
      <c r="AK14" s="43"/>
      <c r="AL14" s="43">
        <v>457.02</v>
      </c>
      <c r="AM14" s="43"/>
      <c r="AN14" s="43">
        <f>1386.18+139.74</f>
        <v>1525.92</v>
      </c>
      <c r="AO14" s="43">
        <v>202</v>
      </c>
      <c r="AP14" s="43"/>
      <c r="AQ14" s="43"/>
      <c r="AR14" s="43"/>
      <c r="AS14" s="43"/>
      <c r="AT14" s="43">
        <f>202+125.74</f>
        <v>327.74</v>
      </c>
      <c r="AU14" s="43"/>
      <c r="AV14" s="43"/>
      <c r="AW14" s="43"/>
      <c r="AX14" s="43"/>
      <c r="AY14" s="43">
        <f>202+125.79</f>
        <v>327.79</v>
      </c>
      <c r="AZ14" s="43"/>
      <c r="BA14" s="43"/>
      <c r="BB14" s="43"/>
      <c r="BC14" s="43"/>
      <c r="BD14" s="43">
        <v>202</v>
      </c>
      <c r="BE14" s="43"/>
      <c r="BF14" s="43"/>
      <c r="BG14" s="43"/>
      <c r="BH14" s="43"/>
      <c r="BI14" s="43">
        <v>202</v>
      </c>
      <c r="BJ14" s="43">
        <f>160+220+115.52</f>
        <v>495.52</v>
      </c>
      <c r="BK14" s="43"/>
      <c r="BL14" s="43">
        <v>190</v>
      </c>
      <c r="BM14" s="43">
        <f>244.28+2267.74</f>
        <v>2512.02</v>
      </c>
      <c r="BN14" s="43">
        <v>202</v>
      </c>
      <c r="BO14" s="43">
        <v>76.239999999999995</v>
      </c>
      <c r="BP14" s="43"/>
      <c r="BQ14" s="43"/>
      <c r="BR14" s="43"/>
      <c r="BS14" s="43">
        <v>202</v>
      </c>
      <c r="BT14" s="43">
        <f>76.24+45.5+98.87-75</f>
        <v>145.61000000000001</v>
      </c>
      <c r="BU14" s="43"/>
      <c r="BV14" s="43"/>
      <c r="BW14" s="43"/>
      <c r="BX14" s="43">
        <v>202</v>
      </c>
      <c r="BY14" s="43">
        <f>(420.13+115.2+30-600)+76.24+71.32</f>
        <v>112.89000000000003</v>
      </c>
      <c r="BZ14" s="43">
        <v>100</v>
      </c>
      <c r="CA14" s="43"/>
      <c r="CB14" s="43"/>
      <c r="CC14" s="43">
        <v>202</v>
      </c>
      <c r="CD14" s="43">
        <f>80.21+71.31</f>
        <v>151.51999999999998</v>
      </c>
      <c r="CE14" s="43"/>
      <c r="CF14" s="43"/>
      <c r="CG14" s="43"/>
      <c r="CH14" s="43"/>
      <c r="CI14" s="43">
        <f>49.28+80.19+71.31+47.27+45.5</f>
        <v>293.55</v>
      </c>
      <c r="CJ14" s="43"/>
      <c r="CK14" s="43"/>
      <c r="CL14" s="43"/>
      <c r="CM14" s="43"/>
      <c r="CN14" s="43">
        <f>80.19+71.2</f>
        <v>151.38999999999999</v>
      </c>
      <c r="CO14" s="43"/>
      <c r="CP14" s="43"/>
      <c r="CQ14" s="43"/>
      <c r="CR14" s="43"/>
      <c r="CS14" s="43">
        <f>71.2+66</f>
        <v>137.19999999999999</v>
      </c>
      <c r="CT14" s="43"/>
      <c r="CU14" s="43"/>
      <c r="CV14" s="43"/>
      <c r="CW14" s="43"/>
      <c r="CX14" s="43">
        <f>71.2+66</f>
        <v>137.19999999999999</v>
      </c>
      <c r="CY14" s="43"/>
      <c r="CZ14" s="43"/>
      <c r="DA14" s="43"/>
      <c r="DB14" s="43"/>
      <c r="DC14" s="43">
        <f>66+275+273.98-600</f>
        <v>14.980000000000018</v>
      </c>
      <c r="DD14" s="43"/>
      <c r="DE14" s="43"/>
      <c r="DF14" s="43"/>
      <c r="DG14" s="43"/>
      <c r="DH14" s="43">
        <f>66+(309.8/2-160)+58.65</f>
        <v>119.55000000000001</v>
      </c>
      <c r="DI14" s="43"/>
      <c r="DJ14" s="43"/>
      <c r="DK14" s="43"/>
      <c r="DL14" s="43"/>
      <c r="DM14" s="43">
        <f>309.8/2+(58.64*5-1.85)+100+147.23</f>
        <v>693.48</v>
      </c>
      <c r="DN14" s="43"/>
      <c r="DO14" s="43"/>
      <c r="DP14" s="43"/>
      <c r="DQ14" s="43"/>
      <c r="DR14" s="43"/>
      <c r="DS14" s="43"/>
      <c r="DT14" s="43"/>
      <c r="DU14" s="43"/>
      <c r="DV14" s="43"/>
      <c r="DW14" s="43">
        <f>(146.32-145)</f>
        <v>1.3199999999999932</v>
      </c>
      <c r="DX14" s="43"/>
      <c r="DY14" s="43"/>
      <c r="DZ14" s="43"/>
      <c r="EA14" s="43"/>
      <c r="EB14" s="44">
        <f>146.31+65</f>
        <v>211.31</v>
      </c>
      <c r="EC14" s="43"/>
      <c r="ED14" s="43"/>
      <c r="EE14" s="43"/>
      <c r="EF14" s="43"/>
      <c r="EG14" s="43">
        <f>64.99+500</f>
        <v>564.99</v>
      </c>
      <c r="EH14" s="45"/>
      <c r="EI14" s="43"/>
      <c r="EJ14" s="43"/>
      <c r="EK14" s="43"/>
      <c r="EL14" s="43">
        <v>500</v>
      </c>
      <c r="EM14" s="43"/>
      <c r="EN14" s="43"/>
      <c r="EO14" s="43"/>
      <c r="EP14" s="43"/>
      <c r="EQ14" s="43">
        <f>500+24</f>
        <v>524</v>
      </c>
      <c r="ER14" s="43"/>
      <c r="ES14" s="43"/>
      <c r="ET14" s="43"/>
      <c r="EU14" s="43"/>
      <c r="EV14" s="43">
        <v>500</v>
      </c>
      <c r="EW14" s="43"/>
      <c r="EX14" s="43"/>
      <c r="EY14" s="43"/>
      <c r="EZ14" s="43"/>
      <c r="FA14" s="43">
        <f>500+24</f>
        <v>524</v>
      </c>
      <c r="FB14" s="43"/>
      <c r="FC14" s="43">
        <v>400</v>
      </c>
      <c r="FD14" s="43"/>
      <c r="FE14" s="43"/>
      <c r="FF14" s="43">
        <f>500+74.97+82.36+(56.67+56.66*2-0.22)+24</f>
        <v>851.1</v>
      </c>
      <c r="FG14" s="43"/>
      <c r="FH14" s="43"/>
      <c r="FI14" s="43"/>
      <c r="FJ14" s="43"/>
      <c r="FK14" s="43">
        <f>500+24</f>
        <v>524</v>
      </c>
      <c r="FL14" s="43"/>
      <c r="FM14" s="43"/>
      <c r="FN14" s="43"/>
      <c r="FO14" s="43"/>
      <c r="FP14" s="43">
        <f>500+24</f>
        <v>524</v>
      </c>
      <c r="FQ14" s="43"/>
      <c r="FR14" s="43"/>
      <c r="FS14" s="43">
        <f>750+400</f>
        <v>1150</v>
      </c>
      <c r="FT14" s="43"/>
      <c r="FU14" s="43">
        <f>500+24</f>
        <v>524</v>
      </c>
      <c r="FV14" s="43"/>
      <c r="FW14" s="43"/>
      <c r="FX14" s="43"/>
      <c r="FY14" s="43"/>
      <c r="FZ14" s="43">
        <f>500+24</f>
        <v>524</v>
      </c>
      <c r="GA14" s="43"/>
      <c r="GB14" s="43"/>
      <c r="GC14" s="43"/>
      <c r="GD14" s="43"/>
      <c r="GE14" s="43">
        <v>24</v>
      </c>
      <c r="GF14" s="43"/>
      <c r="GG14" s="43">
        <v>600</v>
      </c>
      <c r="GH14" s="43"/>
      <c r="GI14" s="43"/>
      <c r="GJ14" s="43">
        <v>24</v>
      </c>
      <c r="GK14" s="43">
        <v>300</v>
      </c>
      <c r="GL14" s="43">
        <v>489.26</v>
      </c>
      <c r="GM14" s="43"/>
      <c r="GN14" s="43"/>
      <c r="GO14" s="43">
        <v>28</v>
      </c>
      <c r="GP14" s="43"/>
      <c r="GQ14" s="43"/>
      <c r="GR14" s="43"/>
      <c r="GS14" s="43"/>
      <c r="GT14" s="43">
        <f>28+147</f>
        <v>175</v>
      </c>
      <c r="GU14" s="43"/>
      <c r="GV14" s="43"/>
      <c r="GW14" s="43"/>
      <c r="GX14" s="43"/>
      <c r="GY14" s="43">
        <f>28+131.5</f>
        <v>159.5</v>
      </c>
      <c r="GZ14" s="43">
        <f>4663.26+500</f>
        <v>5163.26</v>
      </c>
      <c r="HA14" s="43">
        <f>2000+10291.26*2+2718.61+1500</f>
        <v>26801.13</v>
      </c>
      <c r="HB14" s="43">
        <f>500+190+431.06+155.19+3324.8+(750*4+11+4000)+50+1000+300+2000+330.6+216+300</f>
        <v>15808.65</v>
      </c>
      <c r="HC14" s="43">
        <f>79.4+98.95+660.5+1000+140+1300+324.05+35.5+17.7+((1830.03+861.45+928.81+305.29)+(37.54*5+39.42+41.29+44.74+45.05)+(273.43*6+289.46+305.49+334.88+337.55))+1000+(10.5+5.75)+((1974.5+1903.07+770.69+4843.68))+500+808.29+101.87+25.17</f>
        <v>22791.359999999997</v>
      </c>
      <c r="HD14" s="43"/>
      <c r="HE14" s="43"/>
      <c r="HF14" s="43"/>
      <c r="HG14" s="43">
        <f>(18.5+9.7+35.7+68.8)+288.3+1500+500+150</f>
        <v>2571</v>
      </c>
      <c r="HH14" s="43"/>
      <c r="HI14" s="43"/>
      <c r="HJ14" s="43">
        <f>600+7+1000+250+100</f>
        <v>1957</v>
      </c>
      <c r="HK14" s="43">
        <f>62+940+1000+500+135</f>
        <v>2637</v>
      </c>
      <c r="HL14" s="43">
        <f>255+138+1000</f>
        <v>1393</v>
      </c>
      <c r="HM14" s="43"/>
      <c r="HN14" s="43">
        <f>36+180+100.18+386.94+176.55+119.94+248.27</f>
        <v>1247.8800000000001</v>
      </c>
      <c r="HO14" s="43"/>
      <c r="HP14" s="43">
        <f>325+1500+3000</f>
        <v>4825</v>
      </c>
      <c r="HQ14" s="43"/>
      <c r="HR14" s="43">
        <f>982.69+141.5+(25+34+58.5)+232+800</f>
        <v>2273.69</v>
      </c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>
        <f>600+65+74.5+50+187.06+2000+1914.1+140+295+1500+2000+75+100+210+500+37.8+380+1432+184.1+299+2500+315+2000+480+51.9+870</f>
        <v>18260.46</v>
      </c>
      <c r="IE14" s="43"/>
      <c r="IF14" s="43"/>
      <c r="IG14" s="43">
        <f>149.3+31+2000+((382.01+255.65+389.78+296.25+344.16+322.71+293.5+391.86+326.79+281.16+387.35+281.16+385.31+389.81+273.68+198.43+346.88+290.85+310.06+324.61))+179.87+340+3000+165</f>
        <v>12337.180000000002</v>
      </c>
      <c r="IH14" s="43"/>
      <c r="II14" s="43"/>
      <c r="IJ14" s="43"/>
      <c r="IK14" s="43"/>
      <c r="IL14" s="43"/>
      <c r="IM14" s="43">
        <f>36+39.9+155.61+36.48</f>
        <v>267.99</v>
      </c>
      <c r="IN14" s="43"/>
      <c r="IO14" s="43">
        <f>2000+89.5</f>
        <v>2089.5</v>
      </c>
      <c r="IP14" s="43"/>
      <c r="IQ14" s="43"/>
      <c r="IR14" s="43">
        <f>155.61+36+39.9+100</f>
        <v>331.51</v>
      </c>
      <c r="IS14" s="43">
        <f>652.31+450+2000</f>
        <v>3102.31</v>
      </c>
      <c r="IT14" s="43"/>
      <c r="IU14" s="43">
        <f>310+2000+322.5</f>
        <v>2632.5</v>
      </c>
      <c r="IV14" s="43">
        <f>64+367.5+2000+675</f>
        <v>3106.5</v>
      </c>
      <c r="IW14" s="43">
        <f>36+39.9+155.61</f>
        <v>231.51000000000002</v>
      </c>
      <c r="IX14" s="43">
        <f>450+2000+58.03+795.4+199+1230+347.5+2000</f>
        <v>7079.93</v>
      </c>
      <c r="IY14" s="43">
        <v>2000</v>
      </c>
      <c r="IZ14" s="43">
        <f>2000+20</f>
        <v>2020</v>
      </c>
      <c r="JA14" s="43">
        <v>2000</v>
      </c>
      <c r="JB14" s="43">
        <f>36+39.9+(155.61+155.61-1.12)+194.45+42.9+50.49+(44.62+44.58*11-20.62)+156.28+89.6+167.5</f>
        <v>1601.6</v>
      </c>
      <c r="JC14" s="43">
        <f>880.74+58.03+409.07+325+450+2000+44</f>
        <v>4166.84</v>
      </c>
      <c r="JD14" s="43"/>
      <c r="JE14" s="43"/>
      <c r="JF14" s="43"/>
      <c r="JG14" s="43">
        <f>36+39.9+1033.35+204.35</f>
        <v>1313.6</v>
      </c>
      <c r="JH14" s="43"/>
      <c r="JI14" s="43"/>
      <c r="JJ14" s="43"/>
      <c r="JK14" s="43">
        <f>65.6</f>
        <v>65.599999999999994</v>
      </c>
      <c r="JL14" s="43">
        <f>36+39.9+1033.33+275+63.8</f>
        <v>1448.03</v>
      </c>
      <c r="JM14" s="43">
        <f>450+2000+426.99+162.5+2000</f>
        <v>5039.49</v>
      </c>
      <c r="JN14" s="43">
        <f>837.88+2000+189.1</f>
        <v>3026.98</v>
      </c>
      <c r="JO14" s="43">
        <f>105+2000+126.5+58.03</f>
        <v>2289.5300000000002</v>
      </c>
      <c r="JP14" s="43">
        <f>185+160.86+199+2000</f>
        <v>2544.86</v>
      </c>
      <c r="JQ14" s="43">
        <f>1033.33+36+39.9+482.09</f>
        <v>1591.32</v>
      </c>
      <c r="JR14" s="43">
        <f>58.03+450+332.51+255+2000</f>
        <v>3095.54</v>
      </c>
      <c r="JS14" s="43">
        <v>2000</v>
      </c>
      <c r="JT14" s="43">
        <f>841+269.6+591.2+2000+29.05+1704.66</f>
        <v>5435.51</v>
      </c>
      <c r="JU14" s="43"/>
      <c r="JV14" s="43"/>
      <c r="JW14" s="43"/>
      <c r="JX14" s="43">
        <v>1000</v>
      </c>
      <c r="JY14" s="43">
        <v>1000</v>
      </c>
      <c r="JZ14" s="43">
        <v>500</v>
      </c>
      <c r="KA14" s="43"/>
      <c r="KB14" s="43">
        <f>322.42+500</f>
        <v>822.42000000000007</v>
      </c>
      <c r="KC14" s="43">
        <v>500</v>
      </c>
      <c r="KD14" s="43">
        <v>1000</v>
      </c>
      <c r="KE14" s="43">
        <v>1000</v>
      </c>
      <c r="KF14" s="43"/>
      <c r="KG14" s="43">
        <f>183.47+450+353.21+1000</f>
        <v>1986.68</v>
      </c>
      <c r="KH14" s="43">
        <v>1000</v>
      </c>
      <c r="KI14" s="43">
        <v>1000</v>
      </c>
      <c r="KJ14" s="43">
        <v>1000</v>
      </c>
      <c r="KK14" s="43">
        <f>36+39.9+(61.99+54+61+88.75+88.75)+318.16+50+141.33+12</f>
        <v>951.88</v>
      </c>
      <c r="KL14" s="43">
        <f>450+446.53+134.73+1000+46</f>
        <v>2077.2600000000002</v>
      </c>
      <c r="KM14" s="43"/>
      <c r="KN14" s="43"/>
      <c r="KO14" s="43"/>
      <c r="KP14" s="43"/>
      <c r="KQ14" s="43"/>
      <c r="KR14" s="43">
        <f>454.2+139.9+600</f>
        <v>1194.0999999999999</v>
      </c>
      <c r="KS14" s="43">
        <f>405.19</f>
        <v>405.19</v>
      </c>
      <c r="KT14" s="43"/>
      <c r="KU14" s="43">
        <f>36+39.9+14.9</f>
        <v>90.800000000000011</v>
      </c>
      <c r="KV14" s="43">
        <f>64.88+450</f>
        <v>514.88</v>
      </c>
      <c r="KW14" s="43"/>
      <c r="KX14" s="43"/>
      <c r="KY14" s="43"/>
      <c r="KZ14" s="43">
        <f>36+39.9+14.9+10.45</f>
        <v>101.25000000000001</v>
      </c>
      <c r="LA14" s="43">
        <f>64.88+450+513.84+3660</f>
        <v>4688.72</v>
      </c>
      <c r="LB14" s="43"/>
      <c r="LC14" s="43">
        <v>301.26</v>
      </c>
      <c r="LD14" s="43"/>
      <c r="LE14" s="43">
        <f>36+39.9+19.9</f>
        <v>95.800000000000011</v>
      </c>
      <c r="LF14" s="43">
        <f>64.88+882.56+529.71</f>
        <v>1477.15</v>
      </c>
      <c r="LG14" s="43"/>
      <c r="LH14" s="43"/>
      <c r="LI14" s="43">
        <v>216.31</v>
      </c>
      <c r="LJ14" s="43">
        <f>36+39.9+19.9+(316.25-315)</f>
        <v>97.050000000000011</v>
      </c>
      <c r="LK14" s="43">
        <f>472.32</f>
        <v>472.32</v>
      </c>
      <c r="LL14" s="43"/>
      <c r="LM14" s="43"/>
      <c r="LN14" s="43"/>
      <c r="LO14" s="43">
        <f>36+39.9+19.9+(316.25-315)+241.25</f>
        <v>338.3</v>
      </c>
      <c r="LP14" s="43">
        <f>64.88+204.95+360.15</f>
        <v>629.98</v>
      </c>
      <c r="LQ14" s="43"/>
      <c r="LR14" s="43">
        <v>87.39</v>
      </c>
      <c r="LS14" s="43"/>
      <c r="LT14" s="43">
        <f>36+19.9+(50+69.44+66.34)</f>
        <v>241.68</v>
      </c>
      <c r="LU14" s="43">
        <f>64.88+894.41+286.41+12668.63</f>
        <v>13914.33</v>
      </c>
      <c r="LV14" s="43">
        <f>99.9+859.82</f>
        <v>959.72</v>
      </c>
      <c r="LW14" s="43">
        <f>351.11-352</f>
        <v>-0.88999999999998636</v>
      </c>
      <c r="LX14" s="43"/>
      <c r="LY14" s="43">
        <f>36+19.9+(50+69.44+66.33)</f>
        <v>241.67</v>
      </c>
      <c r="LZ14" s="43"/>
      <c r="MA14" s="43"/>
      <c r="MB14" s="43"/>
      <c r="MC14" s="43"/>
      <c r="MD14" s="43">
        <f>36+19.9+(50+69.44+66.33)</f>
        <v>241.67</v>
      </c>
      <c r="ME14" s="43">
        <f>85.23+136.72+160+15+289.08+(943.9+678.14+201.05)</f>
        <v>2509.12</v>
      </c>
      <c r="MF14" s="43"/>
      <c r="MG14" s="43"/>
      <c r="MH14" s="43">
        <f>202.32+70+180+36</f>
        <v>488.32</v>
      </c>
      <c r="MI14" s="43">
        <f>36+130+37.9</f>
        <v>203.9</v>
      </c>
      <c r="MJ14" s="43">
        <f>85.23+342.85+943.9+678.14+201.05+(306.27+139.98)</f>
        <v>2697.42</v>
      </c>
      <c r="MK14" s="43"/>
      <c r="ML14" s="43"/>
      <c r="MM14" s="43"/>
      <c r="MN14" s="43">
        <f>36+130</f>
        <v>166</v>
      </c>
      <c r="MO14" s="43">
        <f>85.23+379.52+306.26+943.9+678.14+201.05</f>
        <v>2594.1</v>
      </c>
      <c r="MP14" s="43"/>
      <c r="MQ14" s="43"/>
      <c r="MR14" s="43"/>
      <c r="MS14" s="43">
        <f>36+130</f>
        <v>166</v>
      </c>
      <c r="MT14" s="43">
        <f>96.13+377.27+943.9</f>
        <v>1417.3</v>
      </c>
      <c r="MU14" s="43"/>
      <c r="MV14" s="43"/>
      <c r="MW14" s="43"/>
      <c r="MX14" s="43"/>
    </row>
    <row r="15" spans="1:363">
      <c r="A15" s="107"/>
      <c r="B15" s="42" t="s">
        <v>93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4"/>
      <c r="EC15" s="43"/>
      <c r="ED15" s="43"/>
      <c r="EE15" s="43"/>
      <c r="EF15" s="43"/>
      <c r="EG15" s="43"/>
      <c r="EH15" s="45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>
        <f>1200+586+2400</f>
        <v>4186</v>
      </c>
      <c r="KR15" s="43">
        <f>102.77+273.96+27</f>
        <v>403.72999999999996</v>
      </c>
      <c r="KS15" s="43">
        <f>5823+1529.1+129+20+2741.62</f>
        <v>10242.720000000001</v>
      </c>
      <c r="KT15" s="43">
        <f>109.9+45.68+181.48+23.9+28.9+406.98</f>
        <v>796.83999999999992</v>
      </c>
      <c r="KU15" s="43">
        <f>98.59+(44.74+44.73*3-2.23)+101.8+119.9+23.12+82.62+99.9+58.65+233.87+53.82+210.57+147.95+71.84+61.9+80.38+71.99*2+234.97</f>
        <v>2000.5600000000002</v>
      </c>
      <c r="KV15" s="43">
        <f>1200+586.1</f>
        <v>1786.1</v>
      </c>
      <c r="KW15" s="43">
        <f>25.02+51.5</f>
        <v>76.52</v>
      </c>
      <c r="KX15" s="43"/>
      <c r="KY15" s="43">
        <f>150+20+39.42</f>
        <v>209.42000000000002</v>
      </c>
      <c r="KZ15" s="43">
        <f>171.63+25.02</f>
        <v>196.65</v>
      </c>
      <c r="LA15" s="43">
        <f>1200+679.39+99.9+154.28+129.51</f>
        <v>2263.08</v>
      </c>
      <c r="LB15" s="43"/>
      <c r="LC15" s="43"/>
      <c r="LD15" s="43">
        <v>99.9</v>
      </c>
      <c r="LE15" s="43">
        <v>1143.27</v>
      </c>
      <c r="LF15" s="43">
        <f>1200+679.39+154.28+143.61+68.59</f>
        <v>2245.87</v>
      </c>
      <c r="LG15" s="43"/>
      <c r="LH15" s="43"/>
      <c r="LI15" s="43">
        <v>104.91</v>
      </c>
      <c r="LJ15" s="43">
        <v>908.3</v>
      </c>
      <c r="LK15" s="43">
        <f>1200+679.37+154.28+99.9+177</f>
        <v>2310.5499999999997</v>
      </c>
      <c r="LL15" s="43"/>
      <c r="LM15" s="43">
        <v>70</v>
      </c>
      <c r="LN15" s="43"/>
      <c r="LO15" s="43">
        <f>908.3+37.51</f>
        <v>945.81</v>
      </c>
      <c r="LP15" s="43">
        <f>1200+679.38+154.28+99.9+68.59+127.07</f>
        <v>2329.2200000000003</v>
      </c>
      <c r="LQ15" s="43"/>
      <c r="LR15" s="43"/>
      <c r="LS15" s="43">
        <f>68.33+99.9</f>
        <v>168.23000000000002</v>
      </c>
      <c r="LT15" s="43">
        <v>945.79</v>
      </c>
      <c r="LU15" s="43">
        <f>1200+679.38+154.28+128.25+68.33+68.13+(228.41+232.13)</f>
        <v>2758.91</v>
      </c>
      <c r="LV15" s="43"/>
      <c r="LW15" s="43"/>
      <c r="LX15" s="43">
        <v>99.9</v>
      </c>
      <c r="LY15" s="43">
        <f>945.79+(94.19+92.89+62.43+67.25+24.4+27.35)</f>
        <v>1314.3</v>
      </c>
      <c r="LZ15" s="43">
        <f>1200+679.38+154.28+127.93+68.13</f>
        <v>2229.7200000000003</v>
      </c>
      <c r="MA15" s="43"/>
      <c r="MB15" s="43"/>
      <c r="MC15" s="43">
        <v>99.9</v>
      </c>
      <c r="MD15" s="43">
        <f>945.79+40.4+420+180+(80.29*2-2)+(69.44*2-1.73)+(233.81-0.39)+(37.49*2-0.94)+(10.45*3-0.52)+(50-0.42)+(53.75-0.45)</f>
        <v>2323.09</v>
      </c>
      <c r="ME15" s="43"/>
      <c r="MF15" s="43">
        <f>117+92+260.4+15.77+69.89</f>
        <v>555.05999999999995</v>
      </c>
      <c r="MG15" s="43"/>
      <c r="MH15" s="43">
        <v>99.9</v>
      </c>
      <c r="MI15" s="43">
        <f>21.9+1224.14+(66.99+66.98-0.56)+14.9+43.7</f>
        <v>1438.0500000000004</v>
      </c>
      <c r="MJ15" s="43">
        <f>1200+679.38+154.28+128.59</f>
        <v>2162.25</v>
      </c>
      <c r="MK15" s="43"/>
      <c r="ML15" s="43">
        <v>146.82</v>
      </c>
      <c r="MM15" s="43">
        <v>99.9</v>
      </c>
      <c r="MN15" s="43">
        <f>21.9+14.9+990.33</f>
        <v>1027.1300000000001</v>
      </c>
      <c r="MO15" s="43">
        <f>1200+679.38+154.28+66.13+163.29</f>
        <v>2263.08</v>
      </c>
      <c r="MP15" s="43"/>
      <c r="MQ15" s="43"/>
      <c r="MR15" s="43">
        <v>99.9</v>
      </c>
      <c r="MS15" s="43">
        <f>21.9+14.9+30.93+779.82+(23.85+97.6)</f>
        <v>969</v>
      </c>
      <c r="MT15" s="43">
        <f>1200+679.38+154.28+66.97+145.24</f>
        <v>2245.87</v>
      </c>
      <c r="MU15" s="43"/>
      <c r="MV15" s="43"/>
      <c r="MW15" s="43">
        <v>99.9</v>
      </c>
      <c r="MX15" s="43">
        <f>21.9+14.9+729.64</f>
        <v>766.43999999999994</v>
      </c>
    </row>
    <row r="16" spans="1:363">
      <c r="A16" s="107"/>
      <c r="B16" s="42" t="s">
        <v>94</v>
      </c>
      <c r="C16" s="43">
        <v>24</v>
      </c>
      <c r="D16" s="43">
        <f>4.55</f>
        <v>4.55</v>
      </c>
      <c r="E16" s="43"/>
      <c r="F16" s="43"/>
      <c r="G16" s="43"/>
      <c r="H16" s="43">
        <f>5+4.55</f>
        <v>9.5500000000000007</v>
      </c>
      <c r="I16" s="43"/>
      <c r="J16" s="43">
        <v>1</v>
      </c>
      <c r="K16" s="43"/>
      <c r="L16" s="43"/>
      <c r="M16" s="43">
        <f>4.55+0.35</f>
        <v>4.8999999999999995</v>
      </c>
      <c r="N16" s="43">
        <f>47+7</f>
        <v>54</v>
      </c>
      <c r="O16" s="43"/>
      <c r="P16" s="43">
        <v>15</v>
      </c>
      <c r="Q16" s="43"/>
      <c r="R16" s="43">
        <f>5+4.55</f>
        <v>9.5500000000000007</v>
      </c>
      <c r="S16" s="43"/>
      <c r="T16" s="43"/>
      <c r="U16" s="43">
        <f>0.9*3+15</f>
        <v>17.7</v>
      </c>
      <c r="V16" s="43"/>
      <c r="W16" s="43">
        <f>45+(2.42+0.23+0.07)</f>
        <v>47.72</v>
      </c>
      <c r="X16" s="43">
        <f>4.55+16</f>
        <v>20.55</v>
      </c>
      <c r="Y16" s="43"/>
      <c r="Z16" s="43"/>
      <c r="AA16" s="43"/>
      <c r="AB16" s="43">
        <f>1.09+0.09+12</f>
        <v>13.18</v>
      </c>
      <c r="AC16" s="43">
        <v>20</v>
      </c>
      <c r="AD16" s="43"/>
      <c r="AE16" s="43">
        <v>1.25</v>
      </c>
      <c r="AF16" s="43"/>
      <c r="AG16" s="43"/>
      <c r="AH16" s="43"/>
      <c r="AI16" s="43">
        <f>20+5+20+1.5</f>
        <v>46.5</v>
      </c>
      <c r="AJ16" s="43">
        <f>1+10</f>
        <v>11</v>
      </c>
      <c r="AK16" s="43"/>
      <c r="AL16" s="43">
        <v>0.57999999999999996</v>
      </c>
      <c r="AM16" s="43"/>
      <c r="AN16" s="43"/>
      <c r="AO16" s="43"/>
      <c r="AP16" s="43"/>
      <c r="AQ16" s="43">
        <v>0.05</v>
      </c>
      <c r="AR16" s="43"/>
      <c r="AS16" s="43"/>
      <c r="AT16" s="43"/>
      <c r="AU16" s="43"/>
      <c r="AV16" s="43"/>
      <c r="AW16" s="43"/>
      <c r="AX16" s="43">
        <f>0.9</f>
        <v>0.9</v>
      </c>
      <c r="AY16" s="43"/>
      <c r="AZ16" s="43"/>
      <c r="BA16" s="43">
        <f>0.57+0.03</f>
        <v>0.6</v>
      </c>
      <c r="BB16" s="43"/>
      <c r="BC16" s="43"/>
      <c r="BD16" s="43"/>
      <c r="BE16" s="43"/>
      <c r="BF16" s="43">
        <v>1.04</v>
      </c>
      <c r="BG16" s="43"/>
      <c r="BH16" s="43"/>
      <c r="BI16" s="43"/>
      <c r="BJ16" s="43"/>
      <c r="BK16" s="43">
        <v>7</v>
      </c>
      <c r="BL16" s="43"/>
      <c r="BM16" s="43"/>
      <c r="BN16" s="43"/>
      <c r="BO16" s="43">
        <f>12+39</f>
        <v>51</v>
      </c>
      <c r="BP16" s="43"/>
      <c r="BQ16" s="43"/>
      <c r="BR16" s="43"/>
      <c r="BS16" s="43">
        <v>0.99</v>
      </c>
      <c r="BT16" s="43">
        <v>27.9</v>
      </c>
      <c r="BU16" s="43"/>
      <c r="BV16" s="43"/>
      <c r="BW16" s="43"/>
      <c r="BX16" s="43"/>
      <c r="BY16" s="43">
        <f>27.9+24.74</f>
        <v>52.64</v>
      </c>
      <c r="BZ16" s="43"/>
      <c r="CA16" s="43"/>
      <c r="CB16" s="43"/>
      <c r="CC16" s="43"/>
      <c r="CD16" s="43">
        <v>27.9</v>
      </c>
      <c r="CE16" s="43">
        <v>10</v>
      </c>
      <c r="CF16" s="43">
        <v>0.5</v>
      </c>
      <c r="CG16" s="43"/>
      <c r="CH16" s="43"/>
      <c r="CI16" s="43">
        <v>27.9</v>
      </c>
      <c r="CJ16" s="43">
        <v>0.02</v>
      </c>
      <c r="CK16" s="43"/>
      <c r="CL16" s="43"/>
      <c r="CM16" s="43"/>
      <c r="CN16" s="43">
        <v>27.9</v>
      </c>
      <c r="CO16" s="43"/>
      <c r="CP16" s="43"/>
      <c r="CQ16" s="43"/>
      <c r="CR16" s="43"/>
      <c r="CS16" s="43">
        <v>27.9</v>
      </c>
      <c r="CT16" s="43">
        <v>0.3</v>
      </c>
      <c r="CU16" s="43"/>
      <c r="CV16" s="43"/>
      <c r="CW16" s="43"/>
      <c r="CX16" s="43">
        <v>27.9</v>
      </c>
      <c r="CY16" s="43">
        <f>10.17+0.65</f>
        <v>10.82</v>
      </c>
      <c r="CZ16" s="43"/>
      <c r="DA16" s="43"/>
      <c r="DB16" s="43"/>
      <c r="DC16" s="43">
        <f>10.9+27.9</f>
        <v>38.799999999999997</v>
      </c>
      <c r="DD16" s="43"/>
      <c r="DE16" s="43"/>
      <c r="DF16" s="43"/>
      <c r="DG16" s="43">
        <v>8</v>
      </c>
      <c r="DH16" s="43">
        <f>27.9+13.97</f>
        <v>41.87</v>
      </c>
      <c r="DI16" s="43">
        <v>0.55000000000000004</v>
      </c>
      <c r="DJ16" s="43"/>
      <c r="DK16" s="43"/>
      <c r="DL16" s="43"/>
      <c r="DM16" s="43">
        <v>27.9</v>
      </c>
      <c r="DN16" s="43">
        <v>2.2000000000000002</v>
      </c>
      <c r="DO16" s="43"/>
      <c r="DP16" s="43"/>
      <c r="DQ16" s="43"/>
      <c r="DR16" s="43">
        <v>27.9</v>
      </c>
      <c r="DS16" s="43"/>
      <c r="DT16" s="43"/>
      <c r="DU16" s="43">
        <f>16.32</f>
        <v>16.32</v>
      </c>
      <c r="DV16" s="43"/>
      <c r="DW16" s="43">
        <f>45.7+27.9+0.1</f>
        <v>73.699999999999989</v>
      </c>
      <c r="DX16" s="43"/>
      <c r="DY16" s="43"/>
      <c r="DZ16" s="43"/>
      <c r="EA16" s="43"/>
      <c r="EB16" s="44">
        <f>27.9</f>
        <v>27.9</v>
      </c>
      <c r="EC16" s="43">
        <f>1.57+0.1</f>
        <v>1.6700000000000002</v>
      </c>
      <c r="ED16" s="43"/>
      <c r="EE16" s="43"/>
      <c r="EF16" s="43"/>
      <c r="EG16" s="43">
        <v>27.9</v>
      </c>
      <c r="EH16" s="45">
        <f>1.29+0.11+10</f>
        <v>11.4</v>
      </c>
      <c r="EI16" s="43"/>
      <c r="EJ16" s="43"/>
      <c r="EK16" s="43"/>
      <c r="EL16" s="43">
        <v>32.9</v>
      </c>
      <c r="EM16" s="43"/>
      <c r="EN16" s="43"/>
      <c r="EO16" s="43"/>
      <c r="EP16" s="43"/>
      <c r="EQ16" s="43">
        <f>1.28+32.9</f>
        <v>34.18</v>
      </c>
      <c r="ER16" s="43">
        <v>9.5299999999999994</v>
      </c>
      <c r="ES16" s="43"/>
      <c r="ET16" s="43"/>
      <c r="EU16" s="43">
        <v>13.81</v>
      </c>
      <c r="EV16" s="43">
        <v>56.9</v>
      </c>
      <c r="EW16" s="43"/>
      <c r="EX16" s="43"/>
      <c r="EY16" s="43"/>
      <c r="EZ16" s="43"/>
      <c r="FA16" s="43">
        <f>32.9</f>
        <v>32.9</v>
      </c>
      <c r="FB16" s="43"/>
      <c r="FC16" s="43">
        <v>27</v>
      </c>
      <c r="FD16" s="43"/>
      <c r="FE16" s="43"/>
      <c r="FF16" s="43">
        <f>13.9</f>
        <v>13.9</v>
      </c>
      <c r="FG16" s="43"/>
      <c r="FH16" s="43"/>
      <c r="FI16" s="43"/>
      <c r="FJ16" s="43"/>
      <c r="FK16" s="43">
        <f>(482-481.48-1.04)</f>
        <v>-0.52000000000001823</v>
      </c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>
        <f>1.55</f>
        <v>1.55</v>
      </c>
      <c r="GL16" s="43"/>
      <c r="GM16" s="43"/>
      <c r="GN16" s="43"/>
      <c r="GO16" s="43"/>
      <c r="GP16" s="43">
        <f>0.28</f>
        <v>0.28000000000000003</v>
      </c>
      <c r="GQ16" s="43"/>
      <c r="GR16" s="43"/>
      <c r="GS16" s="43"/>
      <c r="GT16" s="43">
        <v>103.24</v>
      </c>
      <c r="GU16" s="43"/>
      <c r="GV16" s="43"/>
      <c r="GW16" s="43">
        <v>313.39</v>
      </c>
      <c r="GX16" s="43">
        <v>2000</v>
      </c>
      <c r="GY16" s="43">
        <v>39.9</v>
      </c>
      <c r="GZ16" s="43">
        <v>0.01</v>
      </c>
      <c r="HA16" s="43"/>
      <c r="HB16" s="43"/>
      <c r="HC16" s="43">
        <f>25</f>
        <v>25</v>
      </c>
      <c r="HD16" s="43"/>
      <c r="HE16" s="43"/>
      <c r="HF16" s="43">
        <v>50</v>
      </c>
      <c r="HG16" s="43"/>
      <c r="HH16" s="43"/>
      <c r="HI16" s="43"/>
      <c r="HJ16" s="43"/>
      <c r="HK16" s="43"/>
      <c r="HL16" s="43">
        <v>62.3</v>
      </c>
      <c r="HM16" s="43"/>
      <c r="HN16" s="43"/>
      <c r="HO16" s="43"/>
      <c r="HP16" s="43"/>
      <c r="HQ16" s="43"/>
      <c r="HR16" s="43"/>
      <c r="HS16" s="43">
        <f>150.27</f>
        <v>150.27000000000001</v>
      </c>
      <c r="HT16" s="43"/>
      <c r="HU16" s="43"/>
      <c r="HV16" s="43">
        <f>140.61+387.6</f>
        <v>528.21</v>
      </c>
      <c r="HW16" s="43">
        <v>507.2</v>
      </c>
      <c r="HX16" s="43"/>
      <c r="HY16" s="43"/>
      <c r="HZ16" s="43"/>
      <c r="IA16" s="43"/>
      <c r="IB16" s="43">
        <f>53.97+60.8</f>
        <v>114.77</v>
      </c>
      <c r="IC16" s="43"/>
      <c r="ID16" s="43">
        <v>28.7</v>
      </c>
      <c r="IE16" s="43">
        <f>60+4.8</f>
        <v>64.8</v>
      </c>
      <c r="IF16" s="43"/>
      <c r="IG16" s="43"/>
      <c r="IH16" s="43"/>
      <c r="II16" s="43">
        <f>(0.16+0.15)</f>
        <v>0.31</v>
      </c>
      <c r="IJ16" s="43"/>
      <c r="IK16" s="43"/>
      <c r="IL16" s="43"/>
      <c r="IM16" s="43"/>
      <c r="IN16" s="43">
        <f>1.64+1.05+0.05</f>
        <v>2.7399999999999998</v>
      </c>
      <c r="IO16" s="43"/>
      <c r="IP16" s="43"/>
      <c r="IQ16" s="43">
        <f>65.6*2</f>
        <v>131.19999999999999</v>
      </c>
      <c r="IR16" s="43"/>
      <c r="IS16" s="43">
        <f>1.39+1.34+0.02</f>
        <v>2.75</v>
      </c>
      <c r="IT16" s="43"/>
      <c r="IU16" s="43"/>
      <c r="IV16" s="43"/>
      <c r="IW16" s="43">
        <v>-383.96</v>
      </c>
      <c r="IX16" s="43"/>
      <c r="IY16" s="43"/>
      <c r="IZ16" s="43"/>
      <c r="JA16" s="43"/>
      <c r="JB16" s="43">
        <f>586.89+63.92+13.33+67.45-144.7-0.01-202</f>
        <v>384.88000000000011</v>
      </c>
      <c r="JC16" s="43"/>
      <c r="JD16" s="43">
        <f>10</f>
        <v>10</v>
      </c>
      <c r="JE16" s="43"/>
      <c r="JF16" s="43"/>
      <c r="JG16" s="43"/>
      <c r="JH16" s="43">
        <f>10</f>
        <v>10</v>
      </c>
      <c r="JI16" s="43">
        <v>15</v>
      </c>
      <c r="JJ16" s="43"/>
      <c r="JK16" s="43"/>
      <c r="JL16" s="43"/>
      <c r="JM16" s="43">
        <f>1.39+0.69+0.02+50+17</f>
        <v>69.099999999999994</v>
      </c>
      <c r="JN16" s="43"/>
      <c r="JO16" s="43"/>
      <c r="JP16" s="43"/>
      <c r="JQ16" s="43"/>
      <c r="JR16" s="43"/>
      <c r="JS16" s="43">
        <f>550+293.47</f>
        <v>843.47</v>
      </c>
      <c r="JT16" s="43"/>
      <c r="JU16" s="43"/>
      <c r="JV16" s="43">
        <f>-550-79+49.2</f>
        <v>-579.79999999999995</v>
      </c>
      <c r="JW16" s="43">
        <f>(17.32-0.87-2.63-4.2-0.68-0.68-21.36-1.74)</f>
        <v>-14.839999999999998</v>
      </c>
      <c r="JX16" s="43">
        <v>15</v>
      </c>
      <c r="JY16" s="43"/>
      <c r="JZ16" s="43"/>
      <c r="KA16" s="43">
        <f>-49.2*2</f>
        <v>-98.4</v>
      </c>
      <c r="KB16" s="43"/>
      <c r="KC16" s="43"/>
      <c r="KD16" s="43"/>
      <c r="KE16" s="43">
        <f>200+20</f>
        <v>220</v>
      </c>
      <c r="KF16" s="43">
        <f>49.2-200-20.55</f>
        <v>-171.35000000000002</v>
      </c>
      <c r="KG16" s="43"/>
      <c r="KH16" s="43"/>
      <c r="KI16" s="43"/>
      <c r="KJ16" s="43">
        <f>17+4</f>
        <v>21</v>
      </c>
      <c r="KK16" s="43">
        <v>0.1</v>
      </c>
      <c r="KL16" s="43">
        <f>3.38+1.51+0.13</f>
        <v>5.0199999999999996</v>
      </c>
      <c r="KM16" s="43">
        <v>40</v>
      </c>
      <c r="KN16" s="43"/>
      <c r="KO16" s="43">
        <v>40</v>
      </c>
      <c r="KP16" s="43">
        <f>-0.41-40</f>
        <v>-40.409999999999997</v>
      </c>
      <c r="KQ16" s="43">
        <f>105.75</f>
        <v>105.75</v>
      </c>
      <c r="KR16" s="43"/>
      <c r="KS16" s="43">
        <f>(328.25-330)</f>
        <v>-1.75</v>
      </c>
      <c r="KT16" s="43"/>
      <c r="KU16" s="43">
        <f>(600.02+143.02-742)+(109.41+3.09-110)+156.16</f>
        <v>159.69999999999996</v>
      </c>
      <c r="KV16" s="43">
        <f>0.26+0.26+1033.12+207.02+52.06</f>
        <v>1292.7199999999998</v>
      </c>
      <c r="KW16" s="43">
        <v>17</v>
      </c>
      <c r="KX16" s="43">
        <f>(116.08-94-22)</f>
        <v>7.9999999999998295E-2</v>
      </c>
      <c r="KY16" s="43">
        <f>(338.86-330)</f>
        <v>8.8600000000000136</v>
      </c>
      <c r="KZ16" s="43">
        <f>-(171.55+25.02+10.45+52.06)</f>
        <v>-259.08000000000004</v>
      </c>
      <c r="LA16" s="43">
        <f>56.98+57.95+17</f>
        <v>131.93</v>
      </c>
      <c r="LB16" s="43"/>
      <c r="LC16" s="43">
        <v>10</v>
      </c>
      <c r="LD16" s="43"/>
      <c r="LE16" s="43">
        <f>-51.98-5+9.93-10</f>
        <v>-57.05</v>
      </c>
      <c r="LF16" s="43">
        <f>(4.83+0.11+1.36)</f>
        <v>6.3000000000000007</v>
      </c>
      <c r="LG16" s="43">
        <v>760.91</v>
      </c>
      <c r="LH16" s="43">
        <f>17+15.89</f>
        <v>32.89</v>
      </c>
      <c r="LI16" s="43">
        <v>100</v>
      </c>
      <c r="LJ16" s="43">
        <f>-760.91-15.89-100</f>
        <v>-876.8</v>
      </c>
      <c r="LK16" s="43">
        <v>0.03</v>
      </c>
      <c r="LL16" s="43">
        <f>(108.06+37.9+110)</f>
        <v>255.96</v>
      </c>
      <c r="LM16" s="43">
        <f>100</f>
        <v>100</v>
      </c>
      <c r="LN16" s="43">
        <f>17+20</f>
        <v>37</v>
      </c>
      <c r="LO16" s="43">
        <f>-108.06-37.9-110-100-45</f>
        <v>-400.96000000000004</v>
      </c>
      <c r="LP16" s="43"/>
      <c r="LQ16" s="43"/>
      <c r="LR16" s="43">
        <f>17+20+3.81</f>
        <v>40.81</v>
      </c>
      <c r="LS16" s="43"/>
      <c r="LT16" s="43">
        <f>316.25-3.81</f>
        <v>312.44</v>
      </c>
      <c r="LU16" s="43"/>
      <c r="LV16" s="43"/>
      <c r="LW16" s="43">
        <v>20</v>
      </c>
      <c r="LX16" s="43"/>
      <c r="LY16" s="43">
        <f>316.25</f>
        <v>316.25</v>
      </c>
      <c r="LZ16" s="43"/>
      <c r="MA16" s="43"/>
      <c r="MB16" s="43">
        <f>1800+20</f>
        <v>1820</v>
      </c>
      <c r="MC16" s="43">
        <f>6.94+355.6+20+200+100-612.19</f>
        <v>70.349999999999909</v>
      </c>
      <c r="MD16" s="43">
        <f>-1800-6.94-355.6-200-100+612.19</f>
        <v>-1850.35</v>
      </c>
      <c r="ME16" s="43">
        <v>6.22</v>
      </c>
      <c r="MF16" s="43">
        <f>58.8+37.7</f>
        <v>96.5</v>
      </c>
      <c r="MG16" s="43"/>
      <c r="MH16" s="43"/>
      <c r="MI16" s="43">
        <f>-6.22-58.8-37.7</f>
        <v>-102.72</v>
      </c>
      <c r="MJ16" s="43">
        <v>20</v>
      </c>
      <c r="MK16" s="43">
        <v>88.17</v>
      </c>
      <c r="ML16" s="43"/>
      <c r="MM16" s="43"/>
      <c r="MN16" s="43"/>
      <c r="MO16" s="43">
        <v>20</v>
      </c>
      <c r="MP16" s="43"/>
      <c r="MQ16" s="43"/>
      <c r="MR16" s="43"/>
      <c r="MS16" s="43">
        <f>5.12+56.31+0.28+3.03+24.53</f>
        <v>89.27</v>
      </c>
      <c r="MT16" s="43">
        <v>20</v>
      </c>
      <c r="MU16" s="43"/>
      <c r="MV16" s="43"/>
      <c r="MW16" s="43"/>
      <c r="MX16" s="43">
        <f>-129.9-14.9</f>
        <v>-144.80000000000001</v>
      </c>
    </row>
    <row r="17" spans="1:363" ht="15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1"/>
      <c r="ED17" s="40"/>
      <c r="EE17" s="40"/>
      <c r="EF17" s="40"/>
      <c r="EG17" s="40"/>
      <c r="EH17" s="41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8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</row>
    <row r="18" spans="1:363"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50"/>
      <c r="ED18" s="49"/>
      <c r="EE18" s="49"/>
      <c r="EF18" s="49"/>
      <c r="EG18" s="49"/>
      <c r="EH18" s="50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9"/>
      <c r="FS18" s="49"/>
      <c r="FT18" s="49"/>
      <c r="FU18" s="49"/>
      <c r="FV18" s="49"/>
      <c r="FW18" s="49"/>
      <c r="FX18" s="49"/>
      <c r="FY18" s="49"/>
      <c r="FZ18" s="49"/>
      <c r="GA18" s="49"/>
      <c r="GB18" s="49"/>
      <c r="GC18" s="49"/>
      <c r="GD18" s="49"/>
      <c r="GE18" s="49"/>
      <c r="GF18" s="49"/>
      <c r="GG18" s="49"/>
      <c r="GH18" s="49"/>
      <c r="GI18" s="49"/>
      <c r="GJ18" s="49"/>
      <c r="GK18" s="49"/>
      <c r="GL18" s="49"/>
      <c r="GM18" s="49"/>
      <c r="GN18" s="49"/>
      <c r="GO18" s="49"/>
      <c r="GP18" s="49"/>
      <c r="GQ18" s="49"/>
      <c r="GR18" s="49"/>
      <c r="GS18" s="49"/>
      <c r="GT18" s="49"/>
      <c r="GU18" s="49"/>
      <c r="GV18" s="49"/>
      <c r="GW18" s="49"/>
      <c r="GX18" s="49"/>
      <c r="GY18" s="49"/>
      <c r="GZ18" s="49"/>
      <c r="HA18" s="49"/>
      <c r="HB18" s="49"/>
      <c r="HC18" s="49"/>
      <c r="HD18" s="49"/>
      <c r="HE18" s="49"/>
      <c r="HF18" s="49"/>
      <c r="HG18" s="49"/>
      <c r="HH18" s="49"/>
      <c r="HI18" s="49"/>
      <c r="HJ18" s="49"/>
      <c r="HK18" s="49"/>
      <c r="HL18" s="49"/>
      <c r="HM18" s="49"/>
      <c r="HN18" s="49"/>
      <c r="HO18" s="49"/>
      <c r="HP18" s="49"/>
      <c r="HQ18" s="49"/>
      <c r="HR18" s="49"/>
      <c r="HS18" s="49"/>
      <c r="HT18" s="49"/>
      <c r="HU18" s="49"/>
      <c r="HV18" s="49"/>
      <c r="HW18" s="49"/>
      <c r="HX18" s="49"/>
      <c r="HY18" s="49"/>
      <c r="HZ18" s="49"/>
      <c r="IA18" s="49"/>
      <c r="IB18" s="49"/>
      <c r="IC18" s="49"/>
      <c r="ID18" s="49"/>
      <c r="IE18" s="49"/>
      <c r="IF18" s="49"/>
      <c r="IG18" s="49"/>
      <c r="IH18" s="49"/>
      <c r="II18" s="49"/>
      <c r="IJ18" s="49"/>
      <c r="IK18" s="49"/>
      <c r="IL18" s="49"/>
      <c r="IM18" s="49"/>
      <c r="IN18" s="49"/>
      <c r="IO18" s="49"/>
      <c r="IP18" s="49"/>
      <c r="IQ18" s="49"/>
      <c r="IR18" s="49"/>
      <c r="IS18" s="49"/>
      <c r="IT18" s="49"/>
      <c r="IU18" s="49"/>
      <c r="IV18" s="49"/>
      <c r="IW18" s="49"/>
      <c r="IX18" s="49"/>
      <c r="IY18" s="49"/>
      <c r="IZ18" s="49"/>
      <c r="JA18" s="49"/>
      <c r="JB18" s="49"/>
      <c r="JC18" s="49"/>
      <c r="JD18" s="49"/>
      <c r="JE18" s="49"/>
      <c r="JF18" s="49"/>
      <c r="JG18" s="49"/>
      <c r="JH18" s="49"/>
      <c r="JI18" s="49"/>
      <c r="JJ18" s="49"/>
      <c r="JK18" s="49"/>
      <c r="JL18" s="49"/>
      <c r="JM18" s="49"/>
      <c r="JN18" s="49"/>
      <c r="JO18" s="49"/>
      <c r="JP18" s="49"/>
      <c r="JQ18" s="49"/>
      <c r="JR18" s="49"/>
      <c r="JS18" s="49"/>
      <c r="JT18" s="49"/>
      <c r="JU18" s="49"/>
      <c r="JV18" s="49"/>
      <c r="JW18" s="49"/>
      <c r="JX18" s="49"/>
      <c r="JY18" s="49"/>
      <c r="JZ18" s="49"/>
      <c r="KA18" s="49"/>
      <c r="KB18" s="49"/>
      <c r="KC18" s="49"/>
      <c r="KD18" s="49"/>
      <c r="KE18" s="49"/>
      <c r="KF18" s="49"/>
      <c r="KG18" s="49"/>
      <c r="KH18" s="49"/>
      <c r="KI18" s="49"/>
      <c r="KJ18" s="49"/>
      <c r="KK18" s="49"/>
      <c r="KL18" s="49"/>
      <c r="KM18" s="49"/>
      <c r="KN18" s="49"/>
      <c r="KO18" s="49"/>
      <c r="KP18" s="49"/>
      <c r="KQ18" s="49"/>
      <c r="KR18" s="49"/>
      <c r="KS18" s="49"/>
      <c r="KT18" s="49"/>
      <c r="KU18" s="49"/>
      <c r="KV18" s="49"/>
      <c r="KW18" s="49"/>
      <c r="KX18" s="49"/>
      <c r="KY18" s="49"/>
      <c r="KZ18" s="49"/>
      <c r="LA18" s="49"/>
      <c r="LB18" s="49"/>
      <c r="LC18" s="49"/>
      <c r="LD18" s="49"/>
      <c r="LE18" s="49"/>
      <c r="LF18" s="49"/>
      <c r="LG18" s="49"/>
      <c r="LH18" s="49"/>
      <c r="LI18" s="49"/>
      <c r="LJ18" s="49"/>
      <c r="LK18" s="49"/>
      <c r="LL18" s="49"/>
      <c r="LM18" s="49"/>
      <c r="LN18" s="49"/>
      <c r="LO18" s="49"/>
      <c r="LP18" s="49"/>
      <c r="LQ18" s="49"/>
      <c r="LR18" s="49"/>
      <c r="LS18" s="49"/>
      <c r="LT18" s="49"/>
      <c r="LU18" s="49"/>
      <c r="LV18" s="49"/>
      <c r="LW18" s="49"/>
      <c r="LX18" s="49"/>
      <c r="LY18" s="49"/>
      <c r="LZ18" s="49"/>
      <c r="MA18" s="49"/>
      <c r="MB18" s="49"/>
      <c r="MC18" s="49"/>
      <c r="MD18" s="49"/>
      <c r="ME18" s="49"/>
      <c r="MF18" s="49"/>
      <c r="MG18" s="49"/>
      <c r="MH18" s="49"/>
      <c r="MI18" s="49"/>
      <c r="MJ18" s="49"/>
      <c r="MK18" s="49"/>
      <c r="ML18" s="49"/>
      <c r="MM18" s="49"/>
      <c r="MN18" s="49"/>
      <c r="MO18" s="49"/>
      <c r="MP18" s="49"/>
      <c r="MQ18" s="49"/>
      <c r="MR18" s="49"/>
      <c r="MS18" s="49"/>
      <c r="MT18" s="49"/>
      <c r="MU18" s="49"/>
      <c r="MV18" s="49"/>
      <c r="MW18" s="49"/>
      <c r="MX18" s="49"/>
    </row>
    <row r="19" spans="1:363">
      <c r="A19" s="108" t="s">
        <v>95</v>
      </c>
      <c r="B19" s="51" t="s">
        <v>79</v>
      </c>
      <c r="C19" s="52">
        <f>SUM(C3:C4)</f>
        <v>0</v>
      </c>
      <c r="D19" s="52">
        <f t="shared" ref="D19:BO19" si="0">SUM(D3:D4)</f>
        <v>1534.7159999999999</v>
      </c>
      <c r="E19" s="52">
        <f t="shared" si="0"/>
        <v>0</v>
      </c>
      <c r="F19" s="52">
        <f t="shared" si="0"/>
        <v>936.7639999999999</v>
      </c>
      <c r="G19" s="52">
        <f t="shared" si="0"/>
        <v>0</v>
      </c>
      <c r="H19" s="52">
        <f t="shared" si="0"/>
        <v>0</v>
      </c>
      <c r="I19" s="52">
        <f t="shared" si="0"/>
        <v>734.72</v>
      </c>
      <c r="J19" s="52">
        <f t="shared" si="0"/>
        <v>0</v>
      </c>
      <c r="K19" s="52">
        <f t="shared" si="0"/>
        <v>2198.23</v>
      </c>
      <c r="L19" s="52">
        <f t="shared" si="0"/>
        <v>0</v>
      </c>
      <c r="M19" s="52">
        <f t="shared" si="0"/>
        <v>0</v>
      </c>
      <c r="N19" s="52">
        <f t="shared" si="0"/>
        <v>735.72</v>
      </c>
      <c r="O19" s="52">
        <f t="shared" si="0"/>
        <v>0</v>
      </c>
      <c r="P19" s="52">
        <f t="shared" si="0"/>
        <v>859.53</v>
      </c>
      <c r="Q19" s="52">
        <f t="shared" si="0"/>
        <v>0</v>
      </c>
      <c r="R19" s="52">
        <f t="shared" si="0"/>
        <v>1200</v>
      </c>
      <c r="S19" s="52">
        <f t="shared" si="0"/>
        <v>734.72</v>
      </c>
      <c r="T19" s="52">
        <f t="shared" si="0"/>
        <v>0</v>
      </c>
      <c r="U19" s="52">
        <f t="shared" si="0"/>
        <v>818.29</v>
      </c>
      <c r="V19" s="52">
        <f t="shared" si="0"/>
        <v>0</v>
      </c>
      <c r="W19" s="52">
        <f t="shared" si="0"/>
        <v>0</v>
      </c>
      <c r="X19" s="52">
        <f t="shared" si="0"/>
        <v>2334.7200000000003</v>
      </c>
      <c r="Y19" s="52">
        <f t="shared" si="0"/>
        <v>0</v>
      </c>
      <c r="Z19" s="52">
        <f t="shared" si="0"/>
        <v>1018.19</v>
      </c>
      <c r="AA19" s="52">
        <f t="shared" si="0"/>
        <v>0</v>
      </c>
      <c r="AB19" s="52">
        <f t="shared" si="0"/>
        <v>0</v>
      </c>
      <c r="AC19" s="52">
        <f t="shared" si="0"/>
        <v>1534.72</v>
      </c>
      <c r="AD19" s="52">
        <f t="shared" si="0"/>
        <v>0</v>
      </c>
      <c r="AE19" s="52">
        <f t="shared" si="0"/>
        <v>942.33</v>
      </c>
      <c r="AF19" s="52">
        <f t="shared" si="0"/>
        <v>0</v>
      </c>
      <c r="AG19" s="52">
        <f t="shared" si="0"/>
        <v>0</v>
      </c>
      <c r="AH19" s="52">
        <f t="shared" si="0"/>
        <v>734.72</v>
      </c>
      <c r="AI19" s="52">
        <f t="shared" si="0"/>
        <v>1400</v>
      </c>
      <c r="AJ19" s="52">
        <f t="shared" si="0"/>
        <v>855.94</v>
      </c>
      <c r="AK19" s="52">
        <f t="shared" si="0"/>
        <v>0</v>
      </c>
      <c r="AL19" s="52">
        <f t="shared" si="0"/>
        <v>0</v>
      </c>
      <c r="AM19" s="52">
        <f t="shared" si="0"/>
        <v>2434.7200000000003</v>
      </c>
      <c r="AN19" s="52">
        <f t="shared" si="0"/>
        <v>0</v>
      </c>
      <c r="AO19" s="52">
        <f t="shared" si="0"/>
        <v>852.27</v>
      </c>
      <c r="AP19" s="52">
        <f t="shared" si="0"/>
        <v>0</v>
      </c>
      <c r="AQ19" s="52">
        <f t="shared" si="0"/>
        <v>0</v>
      </c>
      <c r="AR19" s="52">
        <f t="shared" si="0"/>
        <v>734.72</v>
      </c>
      <c r="AS19" s="52">
        <f t="shared" si="0"/>
        <v>1700</v>
      </c>
      <c r="AT19" s="52">
        <f t="shared" si="0"/>
        <v>866.96</v>
      </c>
      <c r="AU19" s="52">
        <f t="shared" si="0"/>
        <v>0</v>
      </c>
      <c r="AV19" s="52">
        <f t="shared" si="0"/>
        <v>0</v>
      </c>
      <c r="AW19" s="52">
        <f t="shared" si="0"/>
        <v>734.72</v>
      </c>
      <c r="AX19" s="52">
        <f t="shared" si="0"/>
        <v>0</v>
      </c>
      <c r="AY19" s="52">
        <f t="shared" si="0"/>
        <v>1555.94</v>
      </c>
      <c r="AZ19" s="52">
        <f t="shared" si="0"/>
        <v>0</v>
      </c>
      <c r="BA19" s="52">
        <f t="shared" si="0"/>
        <v>0</v>
      </c>
      <c r="BB19" s="52">
        <f t="shared" si="0"/>
        <v>734.72</v>
      </c>
      <c r="BC19" s="52">
        <f t="shared" si="0"/>
        <v>0</v>
      </c>
      <c r="BD19" s="52">
        <f t="shared" si="0"/>
        <v>5730.21</v>
      </c>
      <c r="BE19" s="52">
        <f t="shared" si="0"/>
        <v>0</v>
      </c>
      <c r="BF19" s="52">
        <f t="shared" si="0"/>
        <v>0</v>
      </c>
      <c r="BG19" s="52">
        <f t="shared" si="0"/>
        <v>979.38</v>
      </c>
      <c r="BH19" s="52">
        <f t="shared" si="0"/>
        <v>827.15</v>
      </c>
      <c r="BI19" s="52">
        <f t="shared" si="0"/>
        <v>110.15</v>
      </c>
      <c r="BJ19" s="52">
        <f t="shared" si="0"/>
        <v>0</v>
      </c>
      <c r="BK19" s="52">
        <f t="shared" si="0"/>
        <v>0</v>
      </c>
      <c r="BL19" s="52">
        <f t="shared" si="0"/>
        <v>1252.54</v>
      </c>
      <c r="BM19" s="52">
        <f t="shared" si="0"/>
        <v>0</v>
      </c>
      <c r="BN19" s="52">
        <f t="shared" si="0"/>
        <v>937.82</v>
      </c>
      <c r="BO19" s="52">
        <f t="shared" si="0"/>
        <v>0</v>
      </c>
      <c r="BP19" s="52">
        <f t="shared" ref="BP19:EA19" si="1">SUM(BP3:BP4)</f>
        <v>0</v>
      </c>
      <c r="BQ19" s="52">
        <f t="shared" si="1"/>
        <v>2252.54</v>
      </c>
      <c r="BR19" s="52">
        <f t="shared" si="1"/>
        <v>0</v>
      </c>
      <c r="BS19" s="52">
        <f t="shared" si="1"/>
        <v>884.25</v>
      </c>
      <c r="BT19" s="52">
        <f t="shared" si="1"/>
        <v>0</v>
      </c>
      <c r="BU19" s="52">
        <f t="shared" si="1"/>
        <v>0</v>
      </c>
      <c r="BV19" s="52">
        <f t="shared" si="1"/>
        <v>752.54</v>
      </c>
      <c r="BW19" s="52">
        <f t="shared" si="1"/>
        <v>0.02</v>
      </c>
      <c r="BX19" s="52">
        <f t="shared" si="1"/>
        <v>1684.25</v>
      </c>
      <c r="BY19" s="52">
        <f t="shared" si="1"/>
        <v>0</v>
      </c>
      <c r="BZ19" s="52">
        <f t="shared" si="1"/>
        <v>0</v>
      </c>
      <c r="CA19" s="52">
        <f t="shared" si="1"/>
        <v>800</v>
      </c>
      <c r="CB19" s="52">
        <f t="shared" si="1"/>
        <v>752.54</v>
      </c>
      <c r="CC19" s="52">
        <f t="shared" si="1"/>
        <v>839.25</v>
      </c>
      <c r="CD19" s="52">
        <f t="shared" si="1"/>
        <v>0</v>
      </c>
      <c r="CE19" s="52">
        <f t="shared" si="1"/>
        <v>0</v>
      </c>
      <c r="CF19" s="52">
        <f t="shared" si="1"/>
        <v>1752.54</v>
      </c>
      <c r="CG19" s="52">
        <f t="shared" si="1"/>
        <v>0</v>
      </c>
      <c r="CH19" s="52">
        <f t="shared" si="1"/>
        <v>876.72</v>
      </c>
      <c r="CI19" s="52">
        <f t="shared" si="1"/>
        <v>0</v>
      </c>
      <c r="CJ19" s="52">
        <f t="shared" si="1"/>
        <v>0</v>
      </c>
      <c r="CK19" s="52">
        <f t="shared" si="1"/>
        <v>1752.54</v>
      </c>
      <c r="CL19" s="52">
        <f t="shared" si="1"/>
        <v>0</v>
      </c>
      <c r="CM19" s="52">
        <f t="shared" si="1"/>
        <v>888.01</v>
      </c>
      <c r="CN19" s="52">
        <f t="shared" si="1"/>
        <v>0</v>
      </c>
      <c r="CO19" s="52">
        <f t="shared" si="1"/>
        <v>0</v>
      </c>
      <c r="CP19" s="52">
        <f t="shared" si="1"/>
        <v>752.54</v>
      </c>
      <c r="CQ19" s="52">
        <f t="shared" si="1"/>
        <v>800</v>
      </c>
      <c r="CR19" s="52">
        <f t="shared" si="1"/>
        <v>847.96</v>
      </c>
      <c r="CS19" s="52">
        <f t="shared" si="1"/>
        <v>0</v>
      </c>
      <c r="CT19" s="52">
        <f t="shared" si="1"/>
        <v>0</v>
      </c>
      <c r="CU19" s="52">
        <f t="shared" si="1"/>
        <v>752.54</v>
      </c>
      <c r="CV19" s="52">
        <f t="shared" si="1"/>
        <v>1000</v>
      </c>
      <c r="CW19" s="52">
        <f t="shared" si="1"/>
        <v>876.72</v>
      </c>
      <c r="CX19" s="52">
        <f t="shared" si="1"/>
        <v>0</v>
      </c>
      <c r="CY19" s="52">
        <f t="shared" si="1"/>
        <v>0</v>
      </c>
      <c r="CZ19" s="52">
        <f t="shared" si="1"/>
        <v>1752.54</v>
      </c>
      <c r="DA19" s="52">
        <f t="shared" si="1"/>
        <v>0</v>
      </c>
      <c r="DB19" s="52">
        <f t="shared" si="1"/>
        <v>910.58</v>
      </c>
      <c r="DC19" s="52">
        <f t="shared" si="1"/>
        <v>0</v>
      </c>
      <c r="DD19" s="52">
        <f t="shared" si="1"/>
        <v>22.66</v>
      </c>
      <c r="DE19" s="52">
        <f t="shared" si="1"/>
        <v>752.54</v>
      </c>
      <c r="DF19" s="52">
        <f t="shared" si="1"/>
        <v>0</v>
      </c>
      <c r="DG19" s="52">
        <f t="shared" si="1"/>
        <v>1872.96</v>
      </c>
      <c r="DH19" s="52">
        <f t="shared" si="1"/>
        <v>0</v>
      </c>
      <c r="DI19" s="52">
        <f t="shared" si="1"/>
        <v>1000</v>
      </c>
      <c r="DJ19" s="52">
        <f t="shared" si="1"/>
        <v>752.54</v>
      </c>
      <c r="DK19" s="52">
        <f t="shared" si="1"/>
        <v>0</v>
      </c>
      <c r="DL19" s="52">
        <f t="shared" si="1"/>
        <v>5872.7699999999995</v>
      </c>
      <c r="DM19" s="52">
        <f t="shared" si="1"/>
        <v>0</v>
      </c>
      <c r="DN19" s="52">
        <f t="shared" si="1"/>
        <v>1000</v>
      </c>
      <c r="DO19" s="52">
        <f t="shared" si="1"/>
        <v>0</v>
      </c>
      <c r="DP19" s="52">
        <f t="shared" si="1"/>
        <v>796.65</v>
      </c>
      <c r="DQ19" s="52">
        <f t="shared" si="1"/>
        <v>0</v>
      </c>
      <c r="DR19" s="52">
        <f t="shared" si="1"/>
        <v>0</v>
      </c>
      <c r="DS19" s="52">
        <f t="shared" si="1"/>
        <v>0</v>
      </c>
      <c r="DT19" s="52">
        <f t="shared" si="1"/>
        <v>1777.23</v>
      </c>
      <c r="DU19" s="52">
        <f t="shared" si="1"/>
        <v>0</v>
      </c>
      <c r="DV19" s="52">
        <f t="shared" si="1"/>
        <v>909.36</v>
      </c>
      <c r="DW19" s="52">
        <f t="shared" si="1"/>
        <v>0</v>
      </c>
      <c r="DX19" s="52">
        <f t="shared" si="1"/>
        <v>0</v>
      </c>
      <c r="DY19" s="52">
        <f t="shared" si="1"/>
        <v>777.23</v>
      </c>
      <c r="DZ19" s="52">
        <f t="shared" si="1"/>
        <v>1500</v>
      </c>
      <c r="EA19" s="52">
        <f t="shared" si="1"/>
        <v>917.13</v>
      </c>
      <c r="EB19" s="52">
        <f t="shared" ref="EB19:GM19" si="2">SUM(EB3:EB4)</f>
        <v>0</v>
      </c>
      <c r="EC19" s="52">
        <f t="shared" si="2"/>
        <v>0</v>
      </c>
      <c r="ED19" s="52">
        <f t="shared" si="2"/>
        <v>777.23</v>
      </c>
      <c r="EE19" s="52">
        <f t="shared" si="2"/>
        <v>0</v>
      </c>
      <c r="EF19" s="52">
        <f t="shared" si="2"/>
        <v>2380.04</v>
      </c>
      <c r="EG19" s="52">
        <f t="shared" si="2"/>
        <v>0</v>
      </c>
      <c r="EH19" s="52">
        <f t="shared" si="2"/>
        <v>153.38</v>
      </c>
      <c r="EI19" s="52">
        <f t="shared" si="2"/>
        <v>777.23</v>
      </c>
      <c r="EJ19" s="52">
        <f t="shared" si="2"/>
        <v>21.09</v>
      </c>
      <c r="EK19" s="52">
        <f t="shared" si="2"/>
        <v>932.81</v>
      </c>
      <c r="EL19" s="52">
        <f t="shared" si="2"/>
        <v>0</v>
      </c>
      <c r="EM19" s="52">
        <f t="shared" si="2"/>
        <v>0</v>
      </c>
      <c r="EN19" s="52">
        <f t="shared" si="2"/>
        <v>777.23</v>
      </c>
      <c r="EO19" s="52">
        <f t="shared" si="2"/>
        <v>0</v>
      </c>
      <c r="EP19" s="52">
        <f t="shared" si="2"/>
        <v>1006.65</v>
      </c>
      <c r="EQ19" s="52">
        <f t="shared" si="2"/>
        <v>0</v>
      </c>
      <c r="ER19" s="52">
        <f t="shared" si="2"/>
        <v>0</v>
      </c>
      <c r="ES19" s="52">
        <f t="shared" si="2"/>
        <v>1927.23</v>
      </c>
      <c r="ET19" s="52">
        <f t="shared" si="2"/>
        <v>0</v>
      </c>
      <c r="EU19" s="52">
        <f t="shared" si="2"/>
        <v>1006.65</v>
      </c>
      <c r="EV19" s="52">
        <f t="shared" si="2"/>
        <v>0</v>
      </c>
      <c r="EW19" s="52">
        <f t="shared" si="2"/>
        <v>1150</v>
      </c>
      <c r="EX19" s="52">
        <f t="shared" si="2"/>
        <v>777.23</v>
      </c>
      <c r="EY19" s="52">
        <f t="shared" si="2"/>
        <v>0</v>
      </c>
      <c r="EZ19" s="52">
        <f t="shared" si="2"/>
        <v>1006.65</v>
      </c>
      <c r="FA19" s="52">
        <f t="shared" si="2"/>
        <v>0</v>
      </c>
      <c r="FB19" s="52">
        <f t="shared" si="2"/>
        <v>2000</v>
      </c>
      <c r="FC19" s="52">
        <f t="shared" si="2"/>
        <v>777.23</v>
      </c>
      <c r="FD19" s="52">
        <f t="shared" si="2"/>
        <v>0</v>
      </c>
      <c r="FE19" s="52">
        <f t="shared" si="2"/>
        <v>1270.3699999999999</v>
      </c>
      <c r="FF19" s="52">
        <f t="shared" si="2"/>
        <v>0</v>
      </c>
      <c r="FG19" s="52">
        <f t="shared" si="2"/>
        <v>2000</v>
      </c>
      <c r="FH19" s="52">
        <f t="shared" si="2"/>
        <v>0</v>
      </c>
      <c r="FI19" s="52">
        <f t="shared" si="2"/>
        <v>900.39</v>
      </c>
      <c r="FJ19" s="52">
        <f t="shared" si="2"/>
        <v>1147.2099999999998</v>
      </c>
      <c r="FK19" s="52">
        <f t="shared" si="2"/>
        <v>0</v>
      </c>
      <c r="FL19" s="52">
        <f t="shared" si="2"/>
        <v>2000</v>
      </c>
      <c r="FM19" s="52">
        <f t="shared" si="2"/>
        <v>900.39</v>
      </c>
      <c r="FN19" s="52">
        <f t="shared" si="2"/>
        <v>100</v>
      </c>
      <c r="FO19" s="52">
        <f t="shared" si="2"/>
        <v>1147.2099999999998</v>
      </c>
      <c r="FP19" s="52">
        <f t="shared" si="2"/>
        <v>0</v>
      </c>
      <c r="FQ19" s="52">
        <f t="shared" si="2"/>
        <v>2000</v>
      </c>
      <c r="FR19" s="52">
        <f t="shared" si="2"/>
        <v>900.39</v>
      </c>
      <c r="FS19" s="52">
        <f t="shared" si="2"/>
        <v>100</v>
      </c>
      <c r="FT19" s="52">
        <f t="shared" si="2"/>
        <v>9590.85</v>
      </c>
      <c r="FU19" s="52">
        <f t="shared" si="2"/>
        <v>0</v>
      </c>
      <c r="FV19" s="52">
        <f t="shared" si="2"/>
        <v>2000</v>
      </c>
      <c r="FW19" s="52">
        <f t="shared" si="2"/>
        <v>0</v>
      </c>
      <c r="FX19" s="52">
        <f t="shared" si="2"/>
        <v>1042.8899999999999</v>
      </c>
      <c r="FY19" s="52">
        <f t="shared" si="2"/>
        <v>116.48</v>
      </c>
      <c r="FZ19" s="52">
        <f t="shared" si="2"/>
        <v>0</v>
      </c>
      <c r="GA19" s="52">
        <f t="shared" si="2"/>
        <v>2000</v>
      </c>
      <c r="GB19" s="52">
        <f t="shared" si="2"/>
        <v>926.86</v>
      </c>
      <c r="GC19" s="52">
        <f t="shared" si="2"/>
        <v>0</v>
      </c>
      <c r="GD19" s="52">
        <f t="shared" si="2"/>
        <v>1178.52</v>
      </c>
      <c r="GE19" s="52">
        <f t="shared" si="2"/>
        <v>0</v>
      </c>
      <c r="GF19" s="52">
        <f t="shared" si="2"/>
        <v>2000</v>
      </c>
      <c r="GG19" s="52">
        <f t="shared" si="2"/>
        <v>926.86</v>
      </c>
      <c r="GH19" s="52">
        <f t="shared" si="2"/>
        <v>0</v>
      </c>
      <c r="GI19" s="52">
        <f t="shared" si="2"/>
        <v>1178.52</v>
      </c>
      <c r="GJ19" s="52">
        <f t="shared" si="2"/>
        <v>0</v>
      </c>
      <c r="GK19" s="52">
        <f t="shared" si="2"/>
        <v>2100</v>
      </c>
      <c r="GL19" s="52">
        <f t="shared" si="2"/>
        <v>1026.8600000000001</v>
      </c>
      <c r="GM19" s="52">
        <f t="shared" si="2"/>
        <v>0</v>
      </c>
      <c r="GN19" s="52">
        <f t="shared" ref="GN19:IY19" si="3">SUM(GN3:GN4)</f>
        <v>1253.52</v>
      </c>
      <c r="GO19" s="52">
        <f t="shared" si="3"/>
        <v>0</v>
      </c>
      <c r="GP19" s="52">
        <f t="shared" si="3"/>
        <v>2000</v>
      </c>
      <c r="GQ19" s="52">
        <f t="shared" si="3"/>
        <v>926.86</v>
      </c>
      <c r="GR19" s="52">
        <f t="shared" si="3"/>
        <v>100</v>
      </c>
      <c r="GS19" s="52">
        <f t="shared" si="3"/>
        <v>0</v>
      </c>
      <c r="GT19" s="52">
        <f t="shared" si="3"/>
        <v>2747.87</v>
      </c>
      <c r="GU19" s="52">
        <f t="shared" si="3"/>
        <v>2000</v>
      </c>
      <c r="GV19" s="52">
        <f t="shared" si="3"/>
        <v>926.86</v>
      </c>
      <c r="GW19" s="52">
        <f t="shared" si="3"/>
        <v>0</v>
      </c>
      <c r="GX19" s="52">
        <f t="shared" si="3"/>
        <v>1178.52</v>
      </c>
      <c r="GY19" s="52">
        <f t="shared" si="3"/>
        <v>0</v>
      </c>
      <c r="GZ19" s="52">
        <f t="shared" si="3"/>
        <v>2000</v>
      </c>
      <c r="HA19" s="52">
        <f t="shared" si="3"/>
        <v>0</v>
      </c>
      <c r="HB19" s="52">
        <f t="shared" si="3"/>
        <v>926.86</v>
      </c>
      <c r="HC19" s="52">
        <f t="shared" si="3"/>
        <v>1178.52</v>
      </c>
      <c r="HD19" s="52">
        <f t="shared" si="3"/>
        <v>0</v>
      </c>
      <c r="HE19" s="52">
        <f t="shared" si="3"/>
        <v>2000</v>
      </c>
      <c r="HF19" s="52">
        <f t="shared" si="3"/>
        <v>926.86</v>
      </c>
      <c r="HG19" s="52">
        <f t="shared" si="3"/>
        <v>94.2</v>
      </c>
      <c r="HH19" s="52">
        <f t="shared" si="3"/>
        <v>1178.52</v>
      </c>
      <c r="HI19" s="52">
        <f t="shared" si="3"/>
        <v>0</v>
      </c>
      <c r="HJ19" s="52">
        <f t="shared" si="3"/>
        <v>2000</v>
      </c>
      <c r="HK19" s="52">
        <f t="shared" si="3"/>
        <v>926.86</v>
      </c>
      <c r="HL19" s="52">
        <f t="shared" si="3"/>
        <v>99.91</v>
      </c>
      <c r="HM19" s="52">
        <f t="shared" si="3"/>
        <v>3791.33</v>
      </c>
      <c r="HN19" s="52">
        <f t="shared" si="3"/>
        <v>0</v>
      </c>
      <c r="HO19" s="52">
        <f t="shared" si="3"/>
        <v>2000</v>
      </c>
      <c r="HP19" s="52">
        <f t="shared" si="3"/>
        <v>2400</v>
      </c>
      <c r="HQ19" s="52">
        <f t="shared" si="3"/>
        <v>100</v>
      </c>
      <c r="HR19" s="52">
        <f t="shared" si="3"/>
        <v>2318.19</v>
      </c>
      <c r="HS19" s="52">
        <f t="shared" si="3"/>
        <v>0</v>
      </c>
      <c r="HT19" s="52">
        <f t="shared" si="3"/>
        <v>2500</v>
      </c>
      <c r="HU19" s="52">
        <f t="shared" si="3"/>
        <v>2400</v>
      </c>
      <c r="HV19" s="52">
        <f t="shared" si="3"/>
        <v>100</v>
      </c>
      <c r="HW19" s="52">
        <f t="shared" si="3"/>
        <v>2727.45</v>
      </c>
      <c r="HX19" s="52">
        <f t="shared" si="3"/>
        <v>0</v>
      </c>
      <c r="HY19" s="52">
        <f t="shared" si="3"/>
        <v>2000</v>
      </c>
      <c r="HZ19" s="52">
        <f t="shared" si="3"/>
        <v>2650.08</v>
      </c>
      <c r="IA19" s="52">
        <f t="shared" si="3"/>
        <v>74.73</v>
      </c>
      <c r="IB19" s="52">
        <f t="shared" si="3"/>
        <v>17559.349999999999</v>
      </c>
      <c r="IC19" s="52">
        <f t="shared" si="3"/>
        <v>0</v>
      </c>
      <c r="ID19" s="52">
        <f t="shared" si="3"/>
        <v>2000</v>
      </c>
      <c r="IE19" s="52">
        <f t="shared" si="3"/>
        <v>0</v>
      </c>
      <c r="IF19" s="52">
        <f t="shared" si="3"/>
        <v>2061.41</v>
      </c>
      <c r="IG19" s="52">
        <f t="shared" si="3"/>
        <v>0</v>
      </c>
      <c r="IH19" s="52">
        <f t="shared" si="3"/>
        <v>0</v>
      </c>
      <c r="II19" s="52">
        <f t="shared" si="3"/>
        <v>3100</v>
      </c>
      <c r="IJ19" s="52">
        <f t="shared" si="3"/>
        <v>2650.08</v>
      </c>
      <c r="IK19" s="52">
        <f t="shared" si="3"/>
        <v>0</v>
      </c>
      <c r="IL19" s="52">
        <f t="shared" si="3"/>
        <v>1143.83</v>
      </c>
      <c r="IM19" s="52">
        <f t="shared" si="3"/>
        <v>0</v>
      </c>
      <c r="IN19" s="52">
        <f t="shared" si="3"/>
        <v>2000</v>
      </c>
      <c r="IO19" s="52">
        <f t="shared" si="3"/>
        <v>0</v>
      </c>
      <c r="IP19" s="52">
        <f t="shared" si="3"/>
        <v>2650.08</v>
      </c>
      <c r="IQ19" s="52">
        <f t="shared" si="3"/>
        <v>1806.35</v>
      </c>
      <c r="IR19" s="52">
        <f t="shared" si="3"/>
        <v>0</v>
      </c>
      <c r="IS19" s="52">
        <f t="shared" si="3"/>
        <v>2000</v>
      </c>
      <c r="IT19" s="52">
        <f t="shared" si="3"/>
        <v>0</v>
      </c>
      <c r="IU19" s="52">
        <f t="shared" si="3"/>
        <v>2650.08</v>
      </c>
      <c r="IV19" s="52">
        <f t="shared" si="3"/>
        <v>1806.35</v>
      </c>
      <c r="IW19" s="52">
        <f t="shared" si="3"/>
        <v>0</v>
      </c>
      <c r="IX19" s="52">
        <f t="shared" si="3"/>
        <v>3000</v>
      </c>
      <c r="IY19" s="52">
        <f t="shared" si="3"/>
        <v>2650.08</v>
      </c>
      <c r="IZ19" s="52">
        <f t="shared" ref="IZ19:LK19" si="4">SUM(IZ3:IZ4)</f>
        <v>0</v>
      </c>
      <c r="JA19" s="52">
        <f t="shared" si="4"/>
        <v>1806.35</v>
      </c>
      <c r="JB19" s="52">
        <f t="shared" si="4"/>
        <v>0</v>
      </c>
      <c r="JC19" s="52">
        <f t="shared" si="4"/>
        <v>7000</v>
      </c>
      <c r="JD19" s="52">
        <f t="shared" si="4"/>
        <v>8577.9599999999991</v>
      </c>
      <c r="JE19" s="52">
        <f t="shared" si="4"/>
        <v>0</v>
      </c>
      <c r="JF19" s="52">
        <f t="shared" si="4"/>
        <v>0</v>
      </c>
      <c r="JG19" s="52">
        <f t="shared" si="4"/>
        <v>0</v>
      </c>
      <c r="JH19" s="52">
        <f t="shared" si="4"/>
        <v>7000</v>
      </c>
      <c r="JI19" s="52">
        <f t="shared" si="4"/>
        <v>0</v>
      </c>
      <c r="JJ19" s="52">
        <f t="shared" si="4"/>
        <v>0</v>
      </c>
      <c r="JK19" s="52">
        <f t="shared" si="4"/>
        <v>4000</v>
      </c>
      <c r="JL19" s="52">
        <f t="shared" si="4"/>
        <v>0</v>
      </c>
      <c r="JM19" s="52">
        <f t="shared" si="4"/>
        <v>20000</v>
      </c>
      <c r="JN19" s="52">
        <f t="shared" si="4"/>
        <v>0</v>
      </c>
      <c r="JO19" s="52">
        <f t="shared" si="4"/>
        <v>0</v>
      </c>
      <c r="JP19" s="52">
        <f t="shared" si="4"/>
        <v>0</v>
      </c>
      <c r="JQ19" s="52">
        <f t="shared" si="4"/>
        <v>0</v>
      </c>
      <c r="JR19" s="52">
        <f t="shared" si="4"/>
        <v>7000</v>
      </c>
      <c r="JS19" s="52">
        <f t="shared" si="4"/>
        <v>0</v>
      </c>
      <c r="JT19" s="52">
        <f t="shared" si="4"/>
        <v>0</v>
      </c>
      <c r="JU19" s="52">
        <f t="shared" si="4"/>
        <v>0</v>
      </c>
      <c r="JV19" s="52">
        <f t="shared" si="4"/>
        <v>0</v>
      </c>
      <c r="JW19" s="52">
        <f t="shared" si="4"/>
        <v>7000</v>
      </c>
      <c r="JX19" s="52">
        <f t="shared" si="4"/>
        <v>0</v>
      </c>
      <c r="JY19" s="52">
        <f t="shared" si="4"/>
        <v>0</v>
      </c>
      <c r="JZ19" s="52">
        <f t="shared" si="4"/>
        <v>0</v>
      </c>
      <c r="KA19" s="52">
        <f t="shared" si="4"/>
        <v>0</v>
      </c>
      <c r="KB19" s="52">
        <f t="shared" si="4"/>
        <v>7000</v>
      </c>
      <c r="KC19" s="52">
        <f t="shared" si="4"/>
        <v>0</v>
      </c>
      <c r="KD19" s="52">
        <f t="shared" si="4"/>
        <v>0</v>
      </c>
      <c r="KE19" s="52">
        <f t="shared" si="4"/>
        <v>0</v>
      </c>
      <c r="KF19" s="52">
        <f t="shared" si="4"/>
        <v>0</v>
      </c>
      <c r="KG19" s="52">
        <f t="shared" si="4"/>
        <v>7000</v>
      </c>
      <c r="KH19" s="52">
        <f t="shared" si="4"/>
        <v>0</v>
      </c>
      <c r="KI19" s="52">
        <f t="shared" si="4"/>
        <v>0</v>
      </c>
      <c r="KJ19" s="52">
        <f t="shared" si="4"/>
        <v>400</v>
      </c>
      <c r="KK19" s="52">
        <f t="shared" si="4"/>
        <v>0</v>
      </c>
      <c r="KL19" s="52">
        <f t="shared" si="4"/>
        <v>7000</v>
      </c>
      <c r="KM19" s="52">
        <f t="shared" si="4"/>
        <v>0</v>
      </c>
      <c r="KN19" s="52">
        <f t="shared" si="4"/>
        <v>0</v>
      </c>
      <c r="KO19" s="52">
        <f t="shared" si="4"/>
        <v>0</v>
      </c>
      <c r="KP19" s="52">
        <f t="shared" si="4"/>
        <v>0</v>
      </c>
      <c r="KQ19" s="52">
        <f t="shared" si="4"/>
        <v>40000</v>
      </c>
      <c r="KR19" s="52">
        <f t="shared" si="4"/>
        <v>0</v>
      </c>
      <c r="KS19" s="52">
        <f t="shared" si="4"/>
        <v>0</v>
      </c>
      <c r="KT19" s="52">
        <f t="shared" si="4"/>
        <v>0</v>
      </c>
      <c r="KU19" s="52">
        <f t="shared" si="4"/>
        <v>0</v>
      </c>
      <c r="KV19" s="52">
        <f t="shared" si="4"/>
        <v>7500</v>
      </c>
      <c r="KW19" s="52">
        <f t="shared" si="4"/>
        <v>0</v>
      </c>
      <c r="KX19" s="52">
        <f t="shared" si="4"/>
        <v>0</v>
      </c>
      <c r="KY19" s="52">
        <f t="shared" si="4"/>
        <v>0</v>
      </c>
      <c r="KZ19" s="52">
        <f t="shared" si="4"/>
        <v>0</v>
      </c>
      <c r="LA19" s="52">
        <f t="shared" si="4"/>
        <v>7500</v>
      </c>
      <c r="LB19" s="52">
        <f t="shared" si="4"/>
        <v>0</v>
      </c>
      <c r="LC19" s="52">
        <f t="shared" si="4"/>
        <v>0</v>
      </c>
      <c r="LD19" s="52">
        <f t="shared" si="4"/>
        <v>0</v>
      </c>
      <c r="LE19" s="52">
        <f t="shared" si="4"/>
        <v>0</v>
      </c>
      <c r="LF19" s="52">
        <f t="shared" si="4"/>
        <v>7500</v>
      </c>
      <c r="LG19" s="52">
        <f t="shared" si="4"/>
        <v>0</v>
      </c>
      <c r="LH19" s="52">
        <f t="shared" si="4"/>
        <v>0</v>
      </c>
      <c r="LI19" s="52">
        <f t="shared" si="4"/>
        <v>0</v>
      </c>
      <c r="LJ19" s="52">
        <f t="shared" si="4"/>
        <v>0</v>
      </c>
      <c r="LK19" s="52">
        <f t="shared" si="4"/>
        <v>7500</v>
      </c>
      <c r="LL19" s="52">
        <f t="shared" ref="LL19:MX19" si="5">SUM(LL3:LL4)</f>
        <v>0</v>
      </c>
      <c r="LM19" s="52">
        <f t="shared" si="5"/>
        <v>0</v>
      </c>
      <c r="LN19" s="52">
        <f t="shared" si="5"/>
        <v>0</v>
      </c>
      <c r="LO19" s="52">
        <f t="shared" si="5"/>
        <v>0</v>
      </c>
      <c r="LP19" s="52">
        <f t="shared" si="5"/>
        <v>7500</v>
      </c>
      <c r="LQ19" s="52">
        <f t="shared" si="5"/>
        <v>0</v>
      </c>
      <c r="LR19" s="52">
        <f t="shared" si="5"/>
        <v>0</v>
      </c>
      <c r="LS19" s="52">
        <f t="shared" si="5"/>
        <v>0</v>
      </c>
      <c r="LT19" s="52">
        <f t="shared" si="5"/>
        <v>0</v>
      </c>
      <c r="LU19" s="52">
        <f t="shared" si="5"/>
        <v>7500</v>
      </c>
      <c r="LV19" s="52">
        <f t="shared" si="5"/>
        <v>0</v>
      </c>
      <c r="LW19" s="52">
        <f t="shared" si="5"/>
        <v>0</v>
      </c>
      <c r="LX19" s="52">
        <f t="shared" si="5"/>
        <v>0</v>
      </c>
      <c r="LY19" s="52">
        <f t="shared" si="5"/>
        <v>0</v>
      </c>
      <c r="LZ19" s="52">
        <f t="shared" si="5"/>
        <v>7500</v>
      </c>
      <c r="MA19" s="52">
        <f t="shared" si="5"/>
        <v>0</v>
      </c>
      <c r="MB19" s="52">
        <f t="shared" si="5"/>
        <v>0</v>
      </c>
      <c r="MC19" s="52">
        <f t="shared" si="5"/>
        <v>0</v>
      </c>
      <c r="MD19" s="52">
        <f t="shared" si="5"/>
        <v>0</v>
      </c>
      <c r="ME19" s="52">
        <f t="shared" si="5"/>
        <v>7500</v>
      </c>
      <c r="MF19" s="52">
        <f t="shared" si="5"/>
        <v>0</v>
      </c>
      <c r="MG19" s="52">
        <f t="shared" si="5"/>
        <v>0</v>
      </c>
      <c r="MH19" s="52">
        <f t="shared" si="5"/>
        <v>0</v>
      </c>
      <c r="MI19" s="52">
        <f t="shared" si="5"/>
        <v>0</v>
      </c>
      <c r="MJ19" s="52">
        <f t="shared" si="5"/>
        <v>7500</v>
      </c>
      <c r="MK19" s="52">
        <f t="shared" si="5"/>
        <v>0</v>
      </c>
      <c r="ML19" s="52">
        <f t="shared" si="5"/>
        <v>0</v>
      </c>
      <c r="MM19" s="52">
        <f t="shared" si="5"/>
        <v>0</v>
      </c>
      <c r="MN19" s="52">
        <f t="shared" si="5"/>
        <v>0</v>
      </c>
      <c r="MO19" s="52">
        <f t="shared" si="5"/>
        <v>7500</v>
      </c>
      <c r="MP19" s="52">
        <f t="shared" si="5"/>
        <v>0</v>
      </c>
      <c r="MQ19" s="52">
        <f t="shared" si="5"/>
        <v>0</v>
      </c>
      <c r="MR19" s="52">
        <f t="shared" si="5"/>
        <v>0</v>
      </c>
      <c r="MS19" s="52">
        <f t="shared" si="5"/>
        <v>0</v>
      </c>
      <c r="MT19" s="52">
        <f t="shared" si="5"/>
        <v>7500</v>
      </c>
      <c r="MU19" s="52">
        <f t="shared" si="5"/>
        <v>0</v>
      </c>
      <c r="MV19" s="52">
        <f t="shared" si="5"/>
        <v>0</v>
      </c>
      <c r="MW19" s="52">
        <f t="shared" si="5"/>
        <v>0</v>
      </c>
      <c r="MX19" s="52">
        <f t="shared" si="5"/>
        <v>0</v>
      </c>
    </row>
    <row r="20" spans="1:363">
      <c r="A20" s="109"/>
      <c r="B20" s="53" t="s">
        <v>82</v>
      </c>
      <c r="C20" s="123">
        <f>SUM(C6:C16)</f>
        <v>302.5</v>
      </c>
      <c r="D20" s="123">
        <f t="shared" ref="D20:BO20" si="6">SUM(D6:D16)</f>
        <v>144.25</v>
      </c>
      <c r="E20" s="123">
        <f t="shared" si="6"/>
        <v>433.43999999999994</v>
      </c>
      <c r="F20" s="123">
        <f t="shared" si="6"/>
        <v>386.76</v>
      </c>
      <c r="G20" s="123">
        <f t="shared" si="6"/>
        <v>0</v>
      </c>
      <c r="H20" s="124">
        <f t="shared" si="6"/>
        <v>202.69</v>
      </c>
      <c r="I20" s="124">
        <f t="shared" si="6"/>
        <v>139.93</v>
      </c>
      <c r="J20" s="124">
        <f t="shared" si="6"/>
        <v>513.4</v>
      </c>
      <c r="K20" s="124">
        <f t="shared" si="6"/>
        <v>2374.48</v>
      </c>
      <c r="L20" s="124">
        <f t="shared" si="6"/>
        <v>0</v>
      </c>
      <c r="M20" s="125">
        <f t="shared" si="6"/>
        <v>275.69999999999993</v>
      </c>
      <c r="N20" s="125">
        <f t="shared" si="6"/>
        <v>333.81</v>
      </c>
      <c r="O20" s="125">
        <f t="shared" si="6"/>
        <v>137.68</v>
      </c>
      <c r="P20" s="125">
        <f t="shared" si="6"/>
        <v>335.35</v>
      </c>
      <c r="Q20" s="125">
        <f t="shared" si="6"/>
        <v>0</v>
      </c>
      <c r="R20" s="54">
        <f t="shared" si="6"/>
        <v>203.51000000000002</v>
      </c>
      <c r="S20" s="54">
        <f t="shared" si="6"/>
        <v>115.63</v>
      </c>
      <c r="T20" s="54">
        <f t="shared" si="6"/>
        <v>75.400000000000006</v>
      </c>
      <c r="U20" s="54">
        <f t="shared" si="6"/>
        <v>397.77</v>
      </c>
      <c r="V20" s="54">
        <f t="shared" si="6"/>
        <v>0</v>
      </c>
      <c r="W20" s="54">
        <f t="shared" si="6"/>
        <v>234.97</v>
      </c>
      <c r="X20" s="54">
        <f t="shared" si="6"/>
        <v>121.51</v>
      </c>
      <c r="Y20" s="54">
        <f t="shared" si="6"/>
        <v>276.3</v>
      </c>
      <c r="Z20" s="54">
        <f t="shared" si="6"/>
        <v>233.13</v>
      </c>
      <c r="AA20" s="54">
        <f t="shared" si="6"/>
        <v>0</v>
      </c>
      <c r="AB20" s="54">
        <f t="shared" si="6"/>
        <v>178.56</v>
      </c>
      <c r="AC20" s="54">
        <f t="shared" si="6"/>
        <v>66.45</v>
      </c>
      <c r="AD20" s="54">
        <f t="shared" si="6"/>
        <v>148.96</v>
      </c>
      <c r="AE20" s="54">
        <f t="shared" si="6"/>
        <v>509.64</v>
      </c>
      <c r="AF20" s="54">
        <f t="shared" si="6"/>
        <v>0</v>
      </c>
      <c r="AG20" s="54">
        <f t="shared" si="6"/>
        <v>75</v>
      </c>
      <c r="AH20" s="54">
        <f t="shared" si="6"/>
        <v>282.36</v>
      </c>
      <c r="AI20" s="54">
        <f t="shared" si="6"/>
        <v>144.07</v>
      </c>
      <c r="AJ20" s="54">
        <f t="shared" si="6"/>
        <v>454.40999999999997</v>
      </c>
      <c r="AK20" s="54">
        <f t="shared" si="6"/>
        <v>0</v>
      </c>
      <c r="AL20" s="54">
        <f t="shared" si="6"/>
        <v>550.97</v>
      </c>
      <c r="AM20" s="54">
        <f t="shared" si="6"/>
        <v>134.59</v>
      </c>
      <c r="AN20" s="54">
        <f t="shared" si="6"/>
        <v>1664.2</v>
      </c>
      <c r="AO20" s="54">
        <f t="shared" si="6"/>
        <v>246.23000000000002</v>
      </c>
      <c r="AP20" s="54">
        <f t="shared" si="6"/>
        <v>0</v>
      </c>
      <c r="AQ20" s="54">
        <f t="shared" si="6"/>
        <v>50.69</v>
      </c>
      <c r="AR20" s="54">
        <f t="shared" si="6"/>
        <v>128.04999999999998</v>
      </c>
      <c r="AS20" s="54">
        <f t="shared" si="6"/>
        <v>92.3</v>
      </c>
      <c r="AT20" s="54">
        <f t="shared" si="6"/>
        <v>767.85</v>
      </c>
      <c r="AU20" s="54">
        <f t="shared" si="6"/>
        <v>0</v>
      </c>
      <c r="AV20" s="54">
        <f t="shared" si="6"/>
        <v>30.06</v>
      </c>
      <c r="AW20" s="54">
        <f t="shared" si="6"/>
        <v>424.8</v>
      </c>
      <c r="AX20" s="54">
        <f t="shared" si="6"/>
        <v>213.98000000000002</v>
      </c>
      <c r="AY20" s="54">
        <f t="shared" si="6"/>
        <v>572.30000000000007</v>
      </c>
      <c r="AZ20" s="54">
        <f t="shared" si="6"/>
        <v>0</v>
      </c>
      <c r="BA20" s="54">
        <f t="shared" si="6"/>
        <v>270.62</v>
      </c>
      <c r="BB20" s="54">
        <f t="shared" si="6"/>
        <v>77.31</v>
      </c>
      <c r="BC20" s="54">
        <f t="shared" si="6"/>
        <v>134.84</v>
      </c>
      <c r="BD20" s="54">
        <f t="shared" si="6"/>
        <v>306.42</v>
      </c>
      <c r="BE20" s="54">
        <f t="shared" si="6"/>
        <v>138.75</v>
      </c>
      <c r="BF20" s="54">
        <f t="shared" si="6"/>
        <v>8.02</v>
      </c>
      <c r="BG20" s="54">
        <f t="shared" si="6"/>
        <v>228.12</v>
      </c>
      <c r="BH20" s="54">
        <f t="shared" si="6"/>
        <v>469.89</v>
      </c>
      <c r="BI20" s="54">
        <f t="shared" si="6"/>
        <v>270.22000000000003</v>
      </c>
      <c r="BJ20" s="54">
        <f t="shared" si="6"/>
        <v>714.09</v>
      </c>
      <c r="BK20" s="54">
        <f t="shared" si="6"/>
        <v>115.12</v>
      </c>
      <c r="BL20" s="54">
        <f t="shared" si="6"/>
        <v>195</v>
      </c>
      <c r="BM20" s="54">
        <f t="shared" si="6"/>
        <v>2576.8000000000002</v>
      </c>
      <c r="BN20" s="54">
        <f t="shared" si="6"/>
        <v>292.17</v>
      </c>
      <c r="BO20" s="54">
        <f t="shared" si="6"/>
        <v>450.41</v>
      </c>
      <c r="BP20" s="54">
        <f t="shared" ref="BP20:EA20" si="7">SUM(BP6:BP16)</f>
        <v>42.5</v>
      </c>
      <c r="BQ20" s="54">
        <f t="shared" si="7"/>
        <v>71.5</v>
      </c>
      <c r="BR20" s="54">
        <f t="shared" si="7"/>
        <v>120.66999999999999</v>
      </c>
      <c r="BS20" s="54">
        <f t="shared" si="7"/>
        <v>454.98</v>
      </c>
      <c r="BT20" s="54">
        <f t="shared" si="7"/>
        <v>323.60000000000002</v>
      </c>
      <c r="BU20" s="54">
        <f t="shared" si="7"/>
        <v>192.18</v>
      </c>
      <c r="BV20" s="54">
        <f t="shared" si="7"/>
        <v>19.899999999999999</v>
      </c>
      <c r="BW20" s="54">
        <f t="shared" si="7"/>
        <v>105.75999999999999</v>
      </c>
      <c r="BX20" s="54">
        <f t="shared" si="7"/>
        <v>222</v>
      </c>
      <c r="BY20" s="54">
        <f t="shared" si="7"/>
        <v>695.03</v>
      </c>
      <c r="BZ20" s="54">
        <f t="shared" si="7"/>
        <v>183.99</v>
      </c>
      <c r="CA20" s="54">
        <f t="shared" si="7"/>
        <v>70.099999999999994</v>
      </c>
      <c r="CB20" s="54">
        <f t="shared" si="7"/>
        <v>30.700000000000003</v>
      </c>
      <c r="CC20" s="54">
        <f t="shared" si="7"/>
        <v>234.25</v>
      </c>
      <c r="CD20" s="54">
        <f t="shared" si="7"/>
        <v>358.01</v>
      </c>
      <c r="CE20" s="54">
        <f t="shared" si="7"/>
        <v>321.21000000000004</v>
      </c>
      <c r="CF20" s="54">
        <f t="shared" si="7"/>
        <v>53.5</v>
      </c>
      <c r="CG20" s="54">
        <f t="shared" si="7"/>
        <v>34.869999999999997</v>
      </c>
      <c r="CH20" s="54">
        <f t="shared" si="7"/>
        <v>122.22999999999999</v>
      </c>
      <c r="CI20" s="54">
        <f t="shared" si="7"/>
        <v>698.84</v>
      </c>
      <c r="CJ20" s="54">
        <f t="shared" si="7"/>
        <v>84.41</v>
      </c>
      <c r="CK20" s="54">
        <f t="shared" si="7"/>
        <v>23.58</v>
      </c>
      <c r="CL20" s="54">
        <f t="shared" si="7"/>
        <v>137.60999999999999</v>
      </c>
      <c r="CM20" s="54">
        <f t="shared" si="7"/>
        <v>297.28000000000003</v>
      </c>
      <c r="CN20" s="54">
        <f t="shared" si="7"/>
        <v>499.12999999999988</v>
      </c>
      <c r="CO20" s="54">
        <f t="shared" si="7"/>
        <v>138.16</v>
      </c>
      <c r="CP20" s="54">
        <f t="shared" si="7"/>
        <v>130.57999999999998</v>
      </c>
      <c r="CQ20" s="54">
        <f t="shared" si="7"/>
        <v>23.27</v>
      </c>
      <c r="CR20" s="54">
        <f t="shared" si="7"/>
        <v>457.73</v>
      </c>
      <c r="CS20" s="54">
        <f t="shared" si="7"/>
        <v>1611.5800000000002</v>
      </c>
      <c r="CT20" s="54">
        <f t="shared" si="7"/>
        <v>71.39</v>
      </c>
      <c r="CU20" s="54">
        <f t="shared" si="7"/>
        <v>28.490000000000002</v>
      </c>
      <c r="CV20" s="54">
        <f t="shared" si="7"/>
        <v>49.8</v>
      </c>
      <c r="CW20" s="54">
        <f t="shared" si="7"/>
        <v>8</v>
      </c>
      <c r="CX20" s="54">
        <f t="shared" si="7"/>
        <v>911.89</v>
      </c>
      <c r="CY20" s="54">
        <f t="shared" si="7"/>
        <v>106.81</v>
      </c>
      <c r="CZ20" s="54">
        <f t="shared" si="7"/>
        <v>105.5</v>
      </c>
      <c r="DA20" s="54">
        <f t="shared" si="7"/>
        <v>37</v>
      </c>
      <c r="DB20" s="54">
        <f t="shared" si="7"/>
        <v>0</v>
      </c>
      <c r="DC20" s="54">
        <f t="shared" si="7"/>
        <v>1769.8100000000002</v>
      </c>
      <c r="DD20" s="54">
        <f t="shared" si="7"/>
        <v>130.99</v>
      </c>
      <c r="DE20" s="54">
        <f t="shared" si="7"/>
        <v>14.5</v>
      </c>
      <c r="DF20" s="54">
        <f t="shared" si="7"/>
        <v>7.9</v>
      </c>
      <c r="DG20" s="54">
        <f t="shared" si="7"/>
        <v>30.4</v>
      </c>
      <c r="DH20" s="54">
        <f t="shared" si="7"/>
        <v>1264.58</v>
      </c>
      <c r="DI20" s="54">
        <f t="shared" si="7"/>
        <v>69.02</v>
      </c>
      <c r="DJ20" s="54">
        <f t="shared" si="7"/>
        <v>97.919999999999987</v>
      </c>
      <c r="DK20" s="54">
        <f t="shared" si="7"/>
        <v>0</v>
      </c>
      <c r="DL20" s="54">
        <f t="shared" si="7"/>
        <v>4</v>
      </c>
      <c r="DM20" s="54">
        <f t="shared" si="7"/>
        <v>2124.79</v>
      </c>
      <c r="DN20" s="54">
        <f t="shared" si="7"/>
        <v>80.790000000000006</v>
      </c>
      <c r="DO20" s="54">
        <f t="shared" si="7"/>
        <v>14.98</v>
      </c>
      <c r="DP20" s="54">
        <f t="shared" si="7"/>
        <v>58</v>
      </c>
      <c r="DQ20" s="54">
        <f t="shared" si="7"/>
        <v>0</v>
      </c>
      <c r="DR20" s="54">
        <f t="shared" si="7"/>
        <v>1713.2200000000003</v>
      </c>
      <c r="DS20" s="54">
        <f t="shared" si="7"/>
        <v>75.09</v>
      </c>
      <c r="DT20" s="54">
        <f t="shared" si="7"/>
        <v>118.99</v>
      </c>
      <c r="DU20" s="54">
        <f t="shared" si="7"/>
        <v>31.32</v>
      </c>
      <c r="DV20" s="54">
        <f t="shared" si="7"/>
        <v>25.92</v>
      </c>
      <c r="DW20" s="54">
        <f t="shared" si="7"/>
        <v>1243.25</v>
      </c>
      <c r="DX20" s="54">
        <f t="shared" si="7"/>
        <v>49.24</v>
      </c>
      <c r="DY20" s="54">
        <f t="shared" si="7"/>
        <v>52.44</v>
      </c>
      <c r="DZ20" s="54">
        <f t="shared" si="7"/>
        <v>85.1</v>
      </c>
      <c r="EA20" s="54">
        <f t="shared" si="7"/>
        <v>7.24</v>
      </c>
      <c r="EB20" s="54">
        <f t="shared" ref="EB20:GM20" si="8">SUM(EB6:EB16)</f>
        <v>1454.17</v>
      </c>
      <c r="EC20" s="54">
        <f t="shared" si="8"/>
        <v>100.64</v>
      </c>
      <c r="ED20" s="54">
        <f t="shared" si="8"/>
        <v>43.89</v>
      </c>
      <c r="EE20" s="54">
        <f t="shared" si="8"/>
        <v>515.07999999999993</v>
      </c>
      <c r="EF20" s="54">
        <f t="shared" si="8"/>
        <v>275.92</v>
      </c>
      <c r="EG20" s="54">
        <f t="shared" si="8"/>
        <v>1514.5800000000002</v>
      </c>
      <c r="EH20" s="54">
        <f t="shared" si="8"/>
        <v>315.71999999999997</v>
      </c>
      <c r="EI20" s="54">
        <f t="shared" si="8"/>
        <v>227.21000000000004</v>
      </c>
      <c r="EJ20" s="54">
        <f t="shared" si="8"/>
        <v>96.32</v>
      </c>
      <c r="EK20" s="54">
        <f t="shared" si="8"/>
        <v>163.51</v>
      </c>
      <c r="EL20" s="54">
        <f t="shared" si="8"/>
        <v>853.57999999999993</v>
      </c>
      <c r="EM20" s="54">
        <f t="shared" si="8"/>
        <v>153.86000000000001</v>
      </c>
      <c r="EN20" s="54">
        <f t="shared" si="8"/>
        <v>123.48</v>
      </c>
      <c r="EO20" s="54">
        <f t="shared" si="8"/>
        <v>64.2</v>
      </c>
      <c r="EP20" s="54">
        <f t="shared" si="8"/>
        <v>99.96</v>
      </c>
      <c r="EQ20" s="54">
        <f t="shared" si="8"/>
        <v>764.81</v>
      </c>
      <c r="ER20" s="54">
        <f t="shared" si="8"/>
        <v>58.46</v>
      </c>
      <c r="ES20" s="54">
        <f t="shared" si="8"/>
        <v>0</v>
      </c>
      <c r="ET20" s="54">
        <f t="shared" si="8"/>
        <v>0</v>
      </c>
      <c r="EU20" s="54">
        <f t="shared" si="8"/>
        <v>154.83000000000001</v>
      </c>
      <c r="EV20" s="54">
        <f t="shared" si="8"/>
        <v>803.28</v>
      </c>
      <c r="EW20" s="54">
        <f t="shared" si="8"/>
        <v>48.93</v>
      </c>
      <c r="EX20" s="54">
        <f t="shared" si="8"/>
        <v>0</v>
      </c>
      <c r="EY20" s="54">
        <f t="shared" si="8"/>
        <v>83</v>
      </c>
      <c r="EZ20" s="54">
        <f t="shared" si="8"/>
        <v>0</v>
      </c>
      <c r="FA20" s="54">
        <f t="shared" si="8"/>
        <v>1825.9100000000003</v>
      </c>
      <c r="FB20" s="54">
        <f t="shared" si="8"/>
        <v>48.93</v>
      </c>
      <c r="FC20" s="54">
        <f t="shared" si="8"/>
        <v>438.34</v>
      </c>
      <c r="FD20" s="54">
        <f t="shared" si="8"/>
        <v>0</v>
      </c>
      <c r="FE20" s="54">
        <f t="shared" si="8"/>
        <v>0</v>
      </c>
      <c r="FF20" s="54">
        <f t="shared" si="8"/>
        <v>2522.04</v>
      </c>
      <c r="FG20" s="54">
        <f t="shared" si="8"/>
        <v>48.93</v>
      </c>
      <c r="FH20" s="54">
        <f t="shared" si="8"/>
        <v>0</v>
      </c>
      <c r="FI20" s="54">
        <f t="shared" si="8"/>
        <v>0</v>
      </c>
      <c r="FJ20" s="54">
        <f t="shared" si="8"/>
        <v>0</v>
      </c>
      <c r="FK20" s="54">
        <f t="shared" si="8"/>
        <v>669.54</v>
      </c>
      <c r="FL20" s="54">
        <f t="shared" si="8"/>
        <v>59.45</v>
      </c>
      <c r="FM20" s="54">
        <f t="shared" si="8"/>
        <v>42.67</v>
      </c>
      <c r="FN20" s="54">
        <f t="shared" si="8"/>
        <v>0</v>
      </c>
      <c r="FO20" s="54">
        <f t="shared" si="8"/>
        <v>0</v>
      </c>
      <c r="FP20" s="54">
        <f t="shared" si="8"/>
        <v>699.72</v>
      </c>
      <c r="FQ20" s="54">
        <f t="shared" si="8"/>
        <v>48.93</v>
      </c>
      <c r="FR20" s="54">
        <f t="shared" si="8"/>
        <v>0</v>
      </c>
      <c r="FS20" s="54">
        <f t="shared" si="8"/>
        <v>1150</v>
      </c>
      <c r="FT20" s="54">
        <f t="shared" si="8"/>
        <v>0</v>
      </c>
      <c r="FU20" s="54">
        <f t="shared" si="8"/>
        <v>1047.5899999999999</v>
      </c>
      <c r="FV20" s="54">
        <f t="shared" si="8"/>
        <v>126.03999999999999</v>
      </c>
      <c r="FW20" s="54">
        <f t="shared" si="8"/>
        <v>0</v>
      </c>
      <c r="FX20" s="54">
        <f t="shared" si="8"/>
        <v>347.19</v>
      </c>
      <c r="FY20" s="54">
        <f t="shared" si="8"/>
        <v>174.13</v>
      </c>
      <c r="FZ20" s="54">
        <f t="shared" si="8"/>
        <v>1837.67</v>
      </c>
      <c r="GA20" s="54">
        <f t="shared" si="8"/>
        <v>266.83</v>
      </c>
      <c r="GB20" s="54">
        <f t="shared" si="8"/>
        <v>51.870000000000005</v>
      </c>
      <c r="GC20" s="54">
        <f t="shared" si="8"/>
        <v>42.980000000000004</v>
      </c>
      <c r="GD20" s="54">
        <f t="shared" si="8"/>
        <v>0</v>
      </c>
      <c r="GE20" s="54">
        <f t="shared" si="8"/>
        <v>1331.69</v>
      </c>
      <c r="GF20" s="54">
        <f t="shared" si="8"/>
        <v>48.93</v>
      </c>
      <c r="GG20" s="54">
        <f t="shared" si="8"/>
        <v>600</v>
      </c>
      <c r="GH20" s="54">
        <f t="shared" si="8"/>
        <v>809.53</v>
      </c>
      <c r="GI20" s="54">
        <f t="shared" si="8"/>
        <v>0</v>
      </c>
      <c r="GJ20" s="54">
        <f t="shared" si="8"/>
        <v>1237.01</v>
      </c>
      <c r="GK20" s="54">
        <f t="shared" si="8"/>
        <v>360.48</v>
      </c>
      <c r="GL20" s="54">
        <f t="shared" si="8"/>
        <v>539.26</v>
      </c>
      <c r="GM20" s="54">
        <f t="shared" si="8"/>
        <v>15.9</v>
      </c>
      <c r="GN20" s="54">
        <f t="shared" ref="GN20:IY20" si="9">SUM(GN6:GN16)</f>
        <v>0</v>
      </c>
      <c r="GO20" s="54">
        <f t="shared" si="9"/>
        <v>388.44999999999993</v>
      </c>
      <c r="GP20" s="54">
        <f t="shared" si="9"/>
        <v>50.26</v>
      </c>
      <c r="GQ20" s="54">
        <f t="shared" si="9"/>
        <v>19</v>
      </c>
      <c r="GR20" s="54">
        <f t="shared" si="9"/>
        <v>172.4</v>
      </c>
      <c r="GS20" s="54">
        <f t="shared" si="9"/>
        <v>0</v>
      </c>
      <c r="GT20" s="54">
        <f t="shared" si="9"/>
        <v>907.39</v>
      </c>
      <c r="GU20" s="54">
        <f t="shared" si="9"/>
        <v>194.48999999999998</v>
      </c>
      <c r="GV20" s="54">
        <f t="shared" si="9"/>
        <v>0</v>
      </c>
      <c r="GW20" s="54">
        <f t="shared" si="9"/>
        <v>313.39</v>
      </c>
      <c r="GX20" s="54">
        <f t="shared" si="9"/>
        <v>2200</v>
      </c>
      <c r="GY20" s="54">
        <f t="shared" si="9"/>
        <v>2730.9900000000002</v>
      </c>
      <c r="GZ20" s="54">
        <f t="shared" si="9"/>
        <v>5472.13</v>
      </c>
      <c r="HA20" s="54">
        <f t="shared" si="9"/>
        <v>26801.13</v>
      </c>
      <c r="HB20" s="54">
        <f t="shared" si="9"/>
        <v>16037.8</v>
      </c>
      <c r="HC20" s="54">
        <f t="shared" si="9"/>
        <v>22816.359999999997</v>
      </c>
      <c r="HD20" s="54">
        <f t="shared" si="9"/>
        <v>728.81</v>
      </c>
      <c r="HE20" s="54">
        <f t="shared" si="9"/>
        <v>68.92</v>
      </c>
      <c r="HF20" s="54">
        <f t="shared" si="9"/>
        <v>50</v>
      </c>
      <c r="HG20" s="54">
        <f t="shared" si="9"/>
        <v>2571</v>
      </c>
      <c r="HH20" s="54">
        <f t="shared" si="9"/>
        <v>0</v>
      </c>
      <c r="HI20" s="54">
        <f t="shared" si="9"/>
        <v>445</v>
      </c>
      <c r="HJ20" s="54">
        <f t="shared" si="9"/>
        <v>2006.98</v>
      </c>
      <c r="HK20" s="54">
        <f t="shared" si="9"/>
        <v>2637</v>
      </c>
      <c r="HL20" s="54">
        <f t="shared" si="9"/>
        <v>1455.3</v>
      </c>
      <c r="HM20" s="54">
        <f t="shared" si="9"/>
        <v>0</v>
      </c>
      <c r="HN20" s="54">
        <f t="shared" si="9"/>
        <v>2063.9899999999998</v>
      </c>
      <c r="HO20" s="54">
        <f t="shared" si="9"/>
        <v>1891.98</v>
      </c>
      <c r="HP20" s="54">
        <f t="shared" si="9"/>
        <v>4861.8</v>
      </c>
      <c r="HQ20" s="54">
        <f t="shared" si="9"/>
        <v>217.69</v>
      </c>
      <c r="HR20" s="54">
        <f t="shared" si="9"/>
        <v>2381.9</v>
      </c>
      <c r="HS20" s="54">
        <f t="shared" si="9"/>
        <v>576.41999999999996</v>
      </c>
      <c r="HT20" s="54">
        <f t="shared" si="9"/>
        <v>202.01</v>
      </c>
      <c r="HU20" s="54">
        <f t="shared" si="9"/>
        <v>4</v>
      </c>
      <c r="HV20" s="54">
        <f t="shared" si="9"/>
        <v>717.09</v>
      </c>
      <c r="HW20" s="54">
        <f t="shared" si="9"/>
        <v>581.1</v>
      </c>
      <c r="HX20" s="54">
        <f t="shared" si="9"/>
        <v>991.6400000000001</v>
      </c>
      <c r="HY20" s="54">
        <f t="shared" si="9"/>
        <v>225.26999999999998</v>
      </c>
      <c r="HZ20" s="54">
        <f t="shared" si="9"/>
        <v>155.07</v>
      </c>
      <c r="IA20" s="54">
        <f t="shared" si="9"/>
        <v>745.52</v>
      </c>
      <c r="IB20" s="54">
        <f t="shared" si="9"/>
        <v>548.91000000000008</v>
      </c>
      <c r="IC20" s="54">
        <f t="shared" si="9"/>
        <v>432.19000000000005</v>
      </c>
      <c r="ID20" s="54">
        <f t="shared" si="9"/>
        <v>18720.16</v>
      </c>
      <c r="IE20" s="54">
        <f t="shared" si="9"/>
        <v>1038.67</v>
      </c>
      <c r="IF20" s="54">
        <f t="shared" si="9"/>
        <v>811.24</v>
      </c>
      <c r="IG20" s="54">
        <f t="shared" si="9"/>
        <v>12355.590000000002</v>
      </c>
      <c r="IH20" s="54">
        <f t="shared" si="9"/>
        <v>127.32</v>
      </c>
      <c r="II20" s="54">
        <f t="shared" si="9"/>
        <v>92.68</v>
      </c>
      <c r="IJ20" s="54">
        <f t="shared" si="9"/>
        <v>0</v>
      </c>
      <c r="IK20" s="54">
        <f t="shared" si="9"/>
        <v>218.88000000000002</v>
      </c>
      <c r="IL20" s="54">
        <f t="shared" si="9"/>
        <v>139.9</v>
      </c>
      <c r="IM20" s="54">
        <f t="shared" si="9"/>
        <v>1018.5999999999999</v>
      </c>
      <c r="IN20" s="54">
        <f t="shared" si="9"/>
        <v>142.73000000000002</v>
      </c>
      <c r="IO20" s="54">
        <f t="shared" si="9"/>
        <v>1663.99</v>
      </c>
      <c r="IP20" s="54">
        <f t="shared" si="9"/>
        <v>178</v>
      </c>
      <c r="IQ20" s="54">
        <f t="shared" si="9"/>
        <v>150.19999999999999</v>
      </c>
      <c r="IR20" s="54">
        <f t="shared" si="9"/>
        <v>1476.9299999999998</v>
      </c>
      <c r="IS20" s="54">
        <f t="shared" si="9"/>
        <v>3155.0499999999997</v>
      </c>
      <c r="IT20" s="54">
        <f t="shared" si="9"/>
        <v>674.33</v>
      </c>
      <c r="IU20" s="54">
        <f t="shared" si="9"/>
        <v>2842.59</v>
      </c>
      <c r="IV20" s="54">
        <f t="shared" si="9"/>
        <v>3106.5</v>
      </c>
      <c r="IW20" s="54">
        <f t="shared" si="9"/>
        <v>993.95</v>
      </c>
      <c r="IX20" s="54">
        <f t="shared" si="9"/>
        <v>7681.25</v>
      </c>
      <c r="IY20" s="54">
        <f t="shared" si="9"/>
        <v>2000</v>
      </c>
      <c r="IZ20" s="54">
        <f t="shared" ref="IZ20:LK20" si="10">SUM(IZ6:IZ16)</f>
        <v>2020</v>
      </c>
      <c r="JA20" s="54">
        <f t="shared" si="10"/>
        <v>2000</v>
      </c>
      <c r="JB20" s="54">
        <f t="shared" si="10"/>
        <v>3133.79</v>
      </c>
      <c r="JC20" s="54">
        <f t="shared" si="10"/>
        <v>4374.83</v>
      </c>
      <c r="JD20" s="54">
        <f t="shared" si="10"/>
        <v>141.09</v>
      </c>
      <c r="JE20" s="54">
        <f t="shared" si="10"/>
        <v>450.22</v>
      </c>
      <c r="JF20" s="54">
        <f t="shared" si="10"/>
        <v>584.80999999999995</v>
      </c>
      <c r="JG20" s="54">
        <f t="shared" si="10"/>
        <v>3056.8900000000003</v>
      </c>
      <c r="JH20" s="54">
        <f t="shared" si="10"/>
        <v>578.44000000000005</v>
      </c>
      <c r="JI20" s="54">
        <f t="shared" si="10"/>
        <v>348.68</v>
      </c>
      <c r="JJ20" s="54">
        <f t="shared" si="10"/>
        <v>143</v>
      </c>
      <c r="JK20" s="54">
        <f t="shared" si="10"/>
        <v>279.58999999999997</v>
      </c>
      <c r="JL20" s="54">
        <f t="shared" si="10"/>
        <v>3080.88</v>
      </c>
      <c r="JM20" s="54">
        <f t="shared" si="10"/>
        <v>5802.84</v>
      </c>
      <c r="JN20" s="54">
        <f t="shared" si="10"/>
        <v>3359.99</v>
      </c>
      <c r="JO20" s="54">
        <f t="shared" si="10"/>
        <v>2624.4500000000003</v>
      </c>
      <c r="JP20" s="54">
        <f t="shared" si="10"/>
        <v>2794.86</v>
      </c>
      <c r="JQ20" s="54">
        <f t="shared" si="10"/>
        <v>4327.53</v>
      </c>
      <c r="JR20" s="54">
        <f t="shared" si="10"/>
        <v>4024.26</v>
      </c>
      <c r="JS20" s="54">
        <f t="shared" si="10"/>
        <v>2933.4700000000003</v>
      </c>
      <c r="JT20" s="54">
        <f t="shared" si="10"/>
        <v>5481.71</v>
      </c>
      <c r="JU20" s="54">
        <f t="shared" si="10"/>
        <v>837.88999999999987</v>
      </c>
      <c r="JV20" s="54">
        <f t="shared" si="10"/>
        <v>868.19000000000028</v>
      </c>
      <c r="JW20" s="54">
        <f t="shared" si="10"/>
        <v>403.92</v>
      </c>
      <c r="JX20" s="54">
        <f t="shared" si="10"/>
        <v>1144.9000000000001</v>
      </c>
      <c r="JY20" s="54">
        <f t="shared" si="10"/>
        <v>1009.5</v>
      </c>
      <c r="JZ20" s="54">
        <f t="shared" si="10"/>
        <v>511.49</v>
      </c>
      <c r="KA20" s="54">
        <f t="shared" si="10"/>
        <v>2016.8600000000001</v>
      </c>
      <c r="KB20" s="54">
        <f t="shared" si="10"/>
        <v>998.81000000000006</v>
      </c>
      <c r="KC20" s="54">
        <f t="shared" si="10"/>
        <v>500</v>
      </c>
      <c r="KD20" s="54">
        <f t="shared" si="10"/>
        <v>1000</v>
      </c>
      <c r="KE20" s="54">
        <f t="shared" si="10"/>
        <v>1445.62</v>
      </c>
      <c r="KF20" s="54">
        <f t="shared" si="10"/>
        <v>1576.7799999999997</v>
      </c>
      <c r="KG20" s="54">
        <f t="shared" si="10"/>
        <v>2266.59</v>
      </c>
      <c r="KH20" s="54">
        <f t="shared" si="10"/>
        <v>1000</v>
      </c>
      <c r="KI20" s="54">
        <f t="shared" si="10"/>
        <v>1000</v>
      </c>
      <c r="KJ20" s="54">
        <f t="shared" si="10"/>
        <v>1021</v>
      </c>
      <c r="KK20" s="54">
        <f t="shared" si="10"/>
        <v>2899.86</v>
      </c>
      <c r="KL20" s="54">
        <f t="shared" si="10"/>
        <v>2209.4900000000002</v>
      </c>
      <c r="KM20" s="54">
        <f t="shared" si="10"/>
        <v>139.66</v>
      </c>
      <c r="KN20" s="54">
        <f t="shared" si="10"/>
        <v>429.90999999999997</v>
      </c>
      <c r="KO20" s="54">
        <f t="shared" si="10"/>
        <v>507.76</v>
      </c>
      <c r="KP20" s="54">
        <f t="shared" si="10"/>
        <v>2520.4800000000005</v>
      </c>
      <c r="KQ20" s="54">
        <f t="shared" si="10"/>
        <v>4404.57</v>
      </c>
      <c r="KR20" s="54">
        <f t="shared" si="10"/>
        <v>3895.4799999999996</v>
      </c>
      <c r="KS20" s="54">
        <f t="shared" si="10"/>
        <v>10710.43</v>
      </c>
      <c r="KT20" s="54">
        <f t="shared" si="10"/>
        <v>1100.5999999999999</v>
      </c>
      <c r="KU20" s="54">
        <f t="shared" si="10"/>
        <v>2125</v>
      </c>
      <c r="KV20" s="54">
        <f t="shared" si="10"/>
        <v>4182.6899999999996</v>
      </c>
      <c r="KW20" s="54">
        <f t="shared" si="10"/>
        <v>591</v>
      </c>
      <c r="KX20" s="54">
        <f t="shared" si="10"/>
        <v>89.899999999999991</v>
      </c>
      <c r="KY20" s="54">
        <f t="shared" si="10"/>
        <v>534.82000000000005</v>
      </c>
      <c r="KZ20" s="54">
        <f t="shared" si="10"/>
        <v>574.4899999999999</v>
      </c>
      <c r="LA20" s="54">
        <f t="shared" si="10"/>
        <v>7659.8</v>
      </c>
      <c r="LB20" s="54">
        <f t="shared" si="10"/>
        <v>182.54</v>
      </c>
      <c r="LC20" s="54">
        <f t="shared" si="10"/>
        <v>672.05</v>
      </c>
      <c r="LD20" s="54">
        <f t="shared" si="10"/>
        <v>260.18</v>
      </c>
      <c r="LE20" s="54">
        <f t="shared" si="10"/>
        <v>1717.69</v>
      </c>
      <c r="LF20" s="54">
        <f t="shared" si="10"/>
        <v>4026.7300000000005</v>
      </c>
      <c r="LG20" s="54">
        <f t="shared" si="10"/>
        <v>935.34999999999991</v>
      </c>
      <c r="LH20" s="54">
        <f t="shared" si="10"/>
        <v>298.26</v>
      </c>
      <c r="LI20" s="54">
        <f t="shared" si="10"/>
        <v>758.00999999999988</v>
      </c>
      <c r="LJ20" s="54">
        <f t="shared" si="10"/>
        <v>1359.5800000000002</v>
      </c>
      <c r="LK20" s="54">
        <f t="shared" si="10"/>
        <v>2902.44</v>
      </c>
      <c r="LL20" s="54">
        <f t="shared" ref="LL20:MX20" si="11">SUM(LL6:LL16)</f>
        <v>927.52</v>
      </c>
      <c r="LM20" s="54">
        <f t="shared" si="11"/>
        <v>608.97</v>
      </c>
      <c r="LN20" s="54">
        <f t="shared" si="11"/>
        <v>318.83</v>
      </c>
      <c r="LO20" s="54">
        <f t="shared" si="11"/>
        <v>2230.41</v>
      </c>
      <c r="LP20" s="54">
        <f t="shared" si="11"/>
        <v>3324.59</v>
      </c>
      <c r="LQ20" s="54">
        <f t="shared" si="11"/>
        <v>38.700000000000003</v>
      </c>
      <c r="LR20" s="54">
        <f t="shared" si="11"/>
        <v>229.06</v>
      </c>
      <c r="LS20" s="54">
        <f t="shared" si="11"/>
        <v>415.66</v>
      </c>
      <c r="LT20" s="54">
        <f t="shared" si="11"/>
        <v>2681.29</v>
      </c>
      <c r="LU20" s="54">
        <f t="shared" si="11"/>
        <v>18008.260000000002</v>
      </c>
      <c r="LV20" s="54">
        <f t="shared" si="11"/>
        <v>1057.98</v>
      </c>
      <c r="LW20" s="54">
        <f t="shared" si="11"/>
        <v>334.93</v>
      </c>
      <c r="LX20" s="54">
        <f t="shared" si="11"/>
        <v>308.39999999999998</v>
      </c>
      <c r="LY20" s="54">
        <f t="shared" si="11"/>
        <v>3537.23</v>
      </c>
      <c r="LZ20" s="54">
        <f t="shared" si="11"/>
        <v>2360.1200000000003</v>
      </c>
      <c r="MA20" s="54">
        <f t="shared" si="11"/>
        <v>807.29000000000008</v>
      </c>
      <c r="MB20" s="54">
        <f t="shared" si="11"/>
        <v>2068.64</v>
      </c>
      <c r="MC20" s="54">
        <f t="shared" si="11"/>
        <v>1056.5499999999997</v>
      </c>
      <c r="MD20" s="54">
        <f t="shared" si="11"/>
        <v>2494.9300000000007</v>
      </c>
      <c r="ME20" s="54">
        <f t="shared" si="11"/>
        <v>2815.7699999999995</v>
      </c>
      <c r="MF20" s="54">
        <f t="shared" si="11"/>
        <v>1155.1500000000001</v>
      </c>
      <c r="MG20" s="54">
        <f t="shared" si="11"/>
        <v>408.09000000000003</v>
      </c>
      <c r="MH20" s="54">
        <f t="shared" si="11"/>
        <v>833.41</v>
      </c>
      <c r="MI20" s="54">
        <f t="shared" si="11"/>
        <v>2373.2000000000003</v>
      </c>
      <c r="MJ20" s="54">
        <f t="shared" si="11"/>
        <v>5137.34</v>
      </c>
      <c r="MK20" s="54">
        <f t="shared" si="11"/>
        <v>358.86</v>
      </c>
      <c r="ML20" s="54">
        <f t="shared" si="11"/>
        <v>174.82</v>
      </c>
      <c r="MM20" s="54">
        <f t="shared" si="11"/>
        <v>360.09000000000003</v>
      </c>
      <c r="MN20" s="54">
        <f t="shared" si="11"/>
        <v>2261.5299999999997</v>
      </c>
      <c r="MO20" s="54">
        <f t="shared" si="11"/>
        <v>5565.3</v>
      </c>
      <c r="MP20" s="54">
        <f t="shared" si="11"/>
        <v>0</v>
      </c>
      <c r="MQ20" s="54">
        <f t="shared" si="11"/>
        <v>408.86</v>
      </c>
      <c r="MR20" s="54">
        <f t="shared" si="11"/>
        <v>99.9</v>
      </c>
      <c r="MS20" s="54">
        <f t="shared" si="11"/>
        <v>3500.77</v>
      </c>
      <c r="MT20" s="54">
        <f t="shared" si="11"/>
        <v>3794.38</v>
      </c>
      <c r="MU20" s="54">
        <f t="shared" si="11"/>
        <v>0</v>
      </c>
      <c r="MV20" s="54">
        <f t="shared" si="11"/>
        <v>0</v>
      </c>
      <c r="MW20" s="54">
        <f t="shared" si="11"/>
        <v>599.9</v>
      </c>
      <c r="MX20" s="54">
        <f t="shared" si="11"/>
        <v>1878.5200000000002</v>
      </c>
      <c r="MY20" s="2"/>
    </row>
    <row r="21" spans="1:363">
      <c r="A21" s="55"/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  <c r="HF21" s="57"/>
      <c r="HG21" s="57"/>
      <c r="HH21" s="57"/>
      <c r="HI21" s="57"/>
      <c r="HJ21" s="57"/>
      <c r="HK21" s="57"/>
      <c r="HL21" s="57"/>
      <c r="HM21" s="57"/>
      <c r="HN21" s="57"/>
      <c r="HO21" s="57"/>
      <c r="HP21" s="57"/>
      <c r="HQ21" s="57"/>
      <c r="HR21" s="57"/>
      <c r="HS21" s="57"/>
      <c r="HT21" s="57"/>
      <c r="HU21" s="57"/>
      <c r="HV21" s="57"/>
      <c r="HW21" s="57"/>
      <c r="HX21" s="57"/>
      <c r="HY21" s="57"/>
      <c r="HZ21" s="57"/>
      <c r="IA21" s="57"/>
      <c r="IB21" s="57"/>
      <c r="IC21" s="57"/>
      <c r="ID21" s="57"/>
      <c r="IE21" s="57"/>
      <c r="IF21" s="57"/>
      <c r="IG21" s="57"/>
      <c r="IH21" s="57"/>
      <c r="II21" s="57"/>
      <c r="IJ21" s="57"/>
      <c r="IK21" s="57"/>
      <c r="IL21" s="57"/>
      <c r="IM21" s="57"/>
      <c r="IN21" s="57"/>
      <c r="IO21" s="57"/>
      <c r="IP21" s="57"/>
      <c r="IQ21" s="57"/>
      <c r="IR21" s="57"/>
      <c r="IS21" s="57"/>
      <c r="IT21" s="57"/>
      <c r="IU21" s="57"/>
      <c r="IV21" s="57"/>
      <c r="IW21" s="57"/>
      <c r="IX21" s="57"/>
      <c r="IY21" s="57"/>
      <c r="IZ21" s="57"/>
      <c r="JA21" s="57"/>
      <c r="JB21" s="57"/>
      <c r="JC21" s="57"/>
      <c r="JD21" s="57"/>
      <c r="JE21" s="57"/>
      <c r="JF21" s="57"/>
      <c r="JG21" s="57"/>
      <c r="JH21" s="57"/>
      <c r="JI21" s="57"/>
      <c r="JJ21" s="57"/>
      <c r="JK21" s="57"/>
      <c r="JL21" s="57"/>
      <c r="JM21" s="57"/>
      <c r="JN21" s="57"/>
      <c r="JO21" s="57"/>
      <c r="JP21" s="57"/>
      <c r="JQ21" s="57"/>
      <c r="JR21" s="57"/>
      <c r="JS21" s="57"/>
      <c r="JT21" s="57"/>
      <c r="JU21" s="57"/>
      <c r="JV21" s="57"/>
      <c r="JW21" s="57"/>
      <c r="JX21" s="57"/>
      <c r="JY21" s="57"/>
      <c r="JZ21" s="57"/>
      <c r="KA21" s="57"/>
      <c r="KB21" s="57"/>
      <c r="KC21" s="57"/>
      <c r="KD21" s="57"/>
      <c r="KE21" s="57"/>
      <c r="KF21" s="57"/>
      <c r="KG21" s="57"/>
      <c r="KH21" s="57"/>
      <c r="KI21" s="57"/>
      <c r="KJ21" s="57"/>
      <c r="KK21" s="57"/>
      <c r="KL21" s="57"/>
      <c r="KM21" s="57"/>
      <c r="KN21" s="57"/>
      <c r="KO21" s="57"/>
      <c r="KP21" s="57"/>
      <c r="KQ21" s="57"/>
      <c r="KR21" s="57"/>
      <c r="KS21" s="57"/>
      <c r="KT21" s="57"/>
      <c r="KU21" s="57"/>
      <c r="KV21" s="57"/>
      <c r="KW21" s="57"/>
      <c r="KX21" s="57"/>
      <c r="KY21" s="57"/>
      <c r="KZ21" s="57"/>
      <c r="LA21" s="57"/>
      <c r="LB21" s="57"/>
      <c r="LC21" s="57"/>
      <c r="LD21" s="57"/>
      <c r="LE21" s="57"/>
      <c r="LF21" s="57"/>
      <c r="LG21" s="57"/>
      <c r="LH21" s="57"/>
      <c r="LI21" s="57"/>
      <c r="LJ21" s="57"/>
      <c r="LK21" s="57"/>
      <c r="LL21" s="57"/>
      <c r="LM21" s="57"/>
      <c r="LN21" s="57"/>
      <c r="LO21" s="57"/>
      <c r="LP21" s="57"/>
      <c r="LQ21" s="57"/>
      <c r="LR21" s="57"/>
      <c r="LS21" s="57"/>
      <c r="LT21" s="57"/>
      <c r="LU21" s="57"/>
      <c r="LV21" s="57"/>
      <c r="LW21" s="57"/>
      <c r="LX21" s="57"/>
      <c r="LY21" s="57"/>
      <c r="LZ21" s="57"/>
      <c r="MA21" s="57"/>
      <c r="MB21" s="57"/>
      <c r="MC21" s="57"/>
      <c r="MD21" s="57"/>
      <c r="ME21" s="57"/>
      <c r="MF21" s="57"/>
      <c r="MG21" s="57"/>
      <c r="MH21" s="57"/>
      <c r="MI21" s="57"/>
      <c r="MJ21" s="57"/>
      <c r="MK21" s="57"/>
      <c r="ML21" s="57"/>
      <c r="MM21" s="57"/>
      <c r="MN21" s="57"/>
      <c r="MO21" s="57"/>
      <c r="MP21" s="57"/>
      <c r="MQ21" s="57"/>
      <c r="MR21" s="57"/>
      <c r="MS21" s="57"/>
      <c r="MT21" s="57"/>
      <c r="MU21" s="57"/>
      <c r="MV21" s="57"/>
      <c r="MW21" s="57"/>
      <c r="MX21" s="57"/>
      <c r="MY21" s="2"/>
    </row>
    <row r="22" spans="1:363">
      <c r="A22" s="110" t="s">
        <v>96</v>
      </c>
      <c r="B22" s="58" t="s">
        <v>97</v>
      </c>
      <c r="C22" s="59">
        <f>C19-C20</f>
        <v>-302.5</v>
      </c>
      <c r="D22" s="59">
        <f t="shared" ref="D22:BO22" si="12">D19-D20</f>
        <v>1390.4659999999999</v>
      </c>
      <c r="E22" s="59">
        <f t="shared" si="12"/>
        <v>-433.43999999999994</v>
      </c>
      <c r="F22" s="59">
        <f t="shared" si="12"/>
        <v>550.00399999999991</v>
      </c>
      <c r="G22" s="59">
        <f t="shared" si="12"/>
        <v>0</v>
      </c>
      <c r="H22" s="59">
        <f t="shared" si="12"/>
        <v>-202.69</v>
      </c>
      <c r="I22" s="59">
        <f t="shared" si="12"/>
        <v>594.79</v>
      </c>
      <c r="J22" s="59">
        <f t="shared" si="12"/>
        <v>-513.4</v>
      </c>
      <c r="K22" s="59">
        <f t="shared" si="12"/>
        <v>-176.25</v>
      </c>
      <c r="L22" s="59">
        <f t="shared" si="12"/>
        <v>0</v>
      </c>
      <c r="M22" s="59">
        <f t="shared" si="12"/>
        <v>-275.69999999999993</v>
      </c>
      <c r="N22" s="59">
        <f t="shared" si="12"/>
        <v>401.91</v>
      </c>
      <c r="O22" s="59">
        <f t="shared" si="12"/>
        <v>-137.68</v>
      </c>
      <c r="P22" s="59">
        <f t="shared" si="12"/>
        <v>524.17999999999995</v>
      </c>
      <c r="Q22" s="59">
        <f t="shared" si="12"/>
        <v>0</v>
      </c>
      <c r="R22" s="59">
        <f t="shared" si="12"/>
        <v>996.49</v>
      </c>
      <c r="S22" s="59">
        <f t="shared" si="12"/>
        <v>619.09</v>
      </c>
      <c r="T22" s="59">
        <f t="shared" si="12"/>
        <v>-75.400000000000006</v>
      </c>
      <c r="U22" s="59">
        <f t="shared" si="12"/>
        <v>420.52</v>
      </c>
      <c r="V22" s="59">
        <f t="shared" si="12"/>
        <v>0</v>
      </c>
      <c r="W22" s="59">
        <f t="shared" si="12"/>
        <v>-234.97</v>
      </c>
      <c r="X22" s="59">
        <f t="shared" si="12"/>
        <v>2213.21</v>
      </c>
      <c r="Y22" s="59">
        <f t="shared" si="12"/>
        <v>-276.3</v>
      </c>
      <c r="Z22" s="59">
        <f t="shared" si="12"/>
        <v>785.06000000000006</v>
      </c>
      <c r="AA22" s="59">
        <f t="shared" si="12"/>
        <v>0</v>
      </c>
      <c r="AB22" s="59">
        <f t="shared" si="12"/>
        <v>-178.56</v>
      </c>
      <c r="AC22" s="59">
        <f t="shared" si="12"/>
        <v>1468.27</v>
      </c>
      <c r="AD22" s="59">
        <f t="shared" si="12"/>
        <v>-148.96</v>
      </c>
      <c r="AE22" s="59">
        <f t="shared" si="12"/>
        <v>432.69000000000005</v>
      </c>
      <c r="AF22" s="59">
        <f t="shared" si="12"/>
        <v>0</v>
      </c>
      <c r="AG22" s="59">
        <f t="shared" si="12"/>
        <v>-75</v>
      </c>
      <c r="AH22" s="59">
        <f t="shared" si="12"/>
        <v>452.36</v>
      </c>
      <c r="AI22" s="59">
        <f t="shared" si="12"/>
        <v>1255.93</v>
      </c>
      <c r="AJ22" s="59">
        <f t="shared" si="12"/>
        <v>401.53000000000009</v>
      </c>
      <c r="AK22" s="59">
        <f t="shared" si="12"/>
        <v>0</v>
      </c>
      <c r="AL22" s="59">
        <f t="shared" si="12"/>
        <v>-550.97</v>
      </c>
      <c r="AM22" s="59">
        <f t="shared" si="12"/>
        <v>2300.13</v>
      </c>
      <c r="AN22" s="59">
        <f t="shared" si="12"/>
        <v>-1664.2</v>
      </c>
      <c r="AO22" s="59">
        <f t="shared" si="12"/>
        <v>606.04</v>
      </c>
      <c r="AP22" s="59">
        <f t="shared" si="12"/>
        <v>0</v>
      </c>
      <c r="AQ22" s="59">
        <f t="shared" si="12"/>
        <v>-50.69</v>
      </c>
      <c r="AR22" s="59">
        <f t="shared" si="12"/>
        <v>606.67000000000007</v>
      </c>
      <c r="AS22" s="59">
        <f t="shared" si="12"/>
        <v>1607.7</v>
      </c>
      <c r="AT22" s="59">
        <f t="shared" si="12"/>
        <v>99.110000000000014</v>
      </c>
      <c r="AU22" s="59">
        <f t="shared" si="12"/>
        <v>0</v>
      </c>
      <c r="AV22" s="59">
        <f t="shared" si="12"/>
        <v>-30.06</v>
      </c>
      <c r="AW22" s="59">
        <f t="shared" si="12"/>
        <v>309.92</v>
      </c>
      <c r="AX22" s="59">
        <f t="shared" si="12"/>
        <v>-213.98000000000002</v>
      </c>
      <c r="AY22" s="59">
        <f t="shared" si="12"/>
        <v>983.64</v>
      </c>
      <c r="AZ22" s="59">
        <f t="shared" si="12"/>
        <v>0</v>
      </c>
      <c r="BA22" s="59">
        <f t="shared" si="12"/>
        <v>-270.62</v>
      </c>
      <c r="BB22" s="59">
        <f t="shared" si="12"/>
        <v>657.41000000000008</v>
      </c>
      <c r="BC22" s="59">
        <f t="shared" si="12"/>
        <v>-134.84</v>
      </c>
      <c r="BD22" s="59">
        <f t="shared" si="12"/>
        <v>5423.79</v>
      </c>
      <c r="BE22" s="59">
        <f t="shared" si="12"/>
        <v>-138.75</v>
      </c>
      <c r="BF22" s="59">
        <f t="shared" si="12"/>
        <v>-8.02</v>
      </c>
      <c r="BG22" s="59">
        <f t="shared" si="12"/>
        <v>751.26</v>
      </c>
      <c r="BH22" s="59">
        <f t="shared" si="12"/>
        <v>357.26</v>
      </c>
      <c r="BI22" s="59">
        <f t="shared" si="12"/>
        <v>-160.07000000000002</v>
      </c>
      <c r="BJ22" s="59">
        <f t="shared" si="12"/>
        <v>-714.09</v>
      </c>
      <c r="BK22" s="59">
        <f t="shared" si="12"/>
        <v>-115.12</v>
      </c>
      <c r="BL22" s="59">
        <f t="shared" si="12"/>
        <v>1057.54</v>
      </c>
      <c r="BM22" s="59">
        <f t="shared" si="12"/>
        <v>-2576.8000000000002</v>
      </c>
      <c r="BN22" s="59">
        <f t="shared" si="12"/>
        <v>645.65000000000009</v>
      </c>
      <c r="BO22" s="59">
        <f t="shared" si="12"/>
        <v>-450.41</v>
      </c>
      <c r="BP22" s="59">
        <f t="shared" ref="BP22:EA22" si="13">BP19-BP20</f>
        <v>-42.5</v>
      </c>
      <c r="BQ22" s="59">
        <f t="shared" si="13"/>
        <v>2181.04</v>
      </c>
      <c r="BR22" s="59">
        <f t="shared" si="13"/>
        <v>-120.66999999999999</v>
      </c>
      <c r="BS22" s="59">
        <f t="shared" si="13"/>
        <v>429.27</v>
      </c>
      <c r="BT22" s="59">
        <f t="shared" si="13"/>
        <v>-323.60000000000002</v>
      </c>
      <c r="BU22" s="59">
        <f t="shared" si="13"/>
        <v>-192.18</v>
      </c>
      <c r="BV22" s="59">
        <f t="shared" si="13"/>
        <v>732.64</v>
      </c>
      <c r="BW22" s="59">
        <f t="shared" si="13"/>
        <v>-105.74</v>
      </c>
      <c r="BX22" s="59">
        <f t="shared" si="13"/>
        <v>1462.25</v>
      </c>
      <c r="BY22" s="59">
        <f t="shared" si="13"/>
        <v>-695.03</v>
      </c>
      <c r="BZ22" s="59">
        <f t="shared" si="13"/>
        <v>-183.99</v>
      </c>
      <c r="CA22" s="59">
        <f t="shared" si="13"/>
        <v>729.9</v>
      </c>
      <c r="CB22" s="59">
        <f t="shared" si="13"/>
        <v>721.83999999999992</v>
      </c>
      <c r="CC22" s="59">
        <f t="shared" si="13"/>
        <v>605</v>
      </c>
      <c r="CD22" s="59">
        <f t="shared" si="13"/>
        <v>-358.01</v>
      </c>
      <c r="CE22" s="59">
        <f t="shared" si="13"/>
        <v>-321.21000000000004</v>
      </c>
      <c r="CF22" s="59">
        <f t="shared" si="13"/>
        <v>1699.04</v>
      </c>
      <c r="CG22" s="59">
        <f t="shared" si="13"/>
        <v>-34.869999999999997</v>
      </c>
      <c r="CH22" s="59">
        <f t="shared" si="13"/>
        <v>754.49</v>
      </c>
      <c r="CI22" s="59">
        <f t="shared" si="13"/>
        <v>-698.84</v>
      </c>
      <c r="CJ22" s="59">
        <f t="shared" si="13"/>
        <v>-84.41</v>
      </c>
      <c r="CK22" s="59">
        <f t="shared" si="13"/>
        <v>1728.96</v>
      </c>
      <c r="CL22" s="59">
        <f t="shared" si="13"/>
        <v>-137.60999999999999</v>
      </c>
      <c r="CM22" s="59">
        <f t="shared" si="13"/>
        <v>590.73</v>
      </c>
      <c r="CN22" s="59">
        <f t="shared" si="13"/>
        <v>-499.12999999999988</v>
      </c>
      <c r="CO22" s="59">
        <f t="shared" si="13"/>
        <v>-138.16</v>
      </c>
      <c r="CP22" s="59">
        <f t="shared" si="13"/>
        <v>621.96</v>
      </c>
      <c r="CQ22" s="59">
        <f t="shared" si="13"/>
        <v>776.73</v>
      </c>
      <c r="CR22" s="59">
        <f t="shared" si="13"/>
        <v>390.23</v>
      </c>
      <c r="CS22" s="59">
        <f t="shared" si="13"/>
        <v>-1611.5800000000002</v>
      </c>
      <c r="CT22" s="59">
        <f t="shared" si="13"/>
        <v>-71.39</v>
      </c>
      <c r="CU22" s="59">
        <f t="shared" si="13"/>
        <v>724.05</v>
      </c>
      <c r="CV22" s="59">
        <f t="shared" si="13"/>
        <v>950.2</v>
      </c>
      <c r="CW22" s="59">
        <f t="shared" si="13"/>
        <v>868.72</v>
      </c>
      <c r="CX22" s="59">
        <f t="shared" si="13"/>
        <v>-911.89</v>
      </c>
      <c r="CY22" s="59">
        <f t="shared" si="13"/>
        <v>-106.81</v>
      </c>
      <c r="CZ22" s="59">
        <f t="shared" si="13"/>
        <v>1647.04</v>
      </c>
      <c r="DA22" s="59">
        <f t="shared" si="13"/>
        <v>-37</v>
      </c>
      <c r="DB22" s="59">
        <f t="shared" si="13"/>
        <v>910.58</v>
      </c>
      <c r="DC22" s="59">
        <f t="shared" si="13"/>
        <v>-1769.8100000000002</v>
      </c>
      <c r="DD22" s="59">
        <f t="shared" si="13"/>
        <v>-108.33000000000001</v>
      </c>
      <c r="DE22" s="59">
        <f t="shared" si="13"/>
        <v>738.04</v>
      </c>
      <c r="DF22" s="59">
        <f t="shared" si="13"/>
        <v>-7.9</v>
      </c>
      <c r="DG22" s="59">
        <f t="shared" si="13"/>
        <v>1842.56</v>
      </c>
      <c r="DH22" s="59">
        <f t="shared" si="13"/>
        <v>-1264.58</v>
      </c>
      <c r="DI22" s="59">
        <f t="shared" si="13"/>
        <v>930.98</v>
      </c>
      <c r="DJ22" s="59">
        <f t="shared" si="13"/>
        <v>654.62</v>
      </c>
      <c r="DK22" s="59">
        <f t="shared" si="13"/>
        <v>0</v>
      </c>
      <c r="DL22" s="59">
        <f t="shared" si="13"/>
        <v>5868.7699999999995</v>
      </c>
      <c r="DM22" s="59">
        <f t="shared" si="13"/>
        <v>-2124.79</v>
      </c>
      <c r="DN22" s="59">
        <f t="shared" si="13"/>
        <v>919.21</v>
      </c>
      <c r="DO22" s="59">
        <f t="shared" si="13"/>
        <v>-14.98</v>
      </c>
      <c r="DP22" s="59">
        <f t="shared" si="13"/>
        <v>738.65</v>
      </c>
      <c r="DQ22" s="59">
        <f t="shared" si="13"/>
        <v>0</v>
      </c>
      <c r="DR22" s="59">
        <f t="shared" si="13"/>
        <v>-1713.2200000000003</v>
      </c>
      <c r="DS22" s="59">
        <f t="shared" si="13"/>
        <v>-75.09</v>
      </c>
      <c r="DT22" s="59">
        <f t="shared" si="13"/>
        <v>1658.24</v>
      </c>
      <c r="DU22" s="59">
        <f t="shared" si="13"/>
        <v>-31.32</v>
      </c>
      <c r="DV22" s="59">
        <f t="shared" si="13"/>
        <v>883.44</v>
      </c>
      <c r="DW22" s="59">
        <f t="shared" si="13"/>
        <v>-1243.25</v>
      </c>
      <c r="DX22" s="59">
        <f t="shared" si="13"/>
        <v>-49.24</v>
      </c>
      <c r="DY22" s="59">
        <f t="shared" si="13"/>
        <v>724.79</v>
      </c>
      <c r="DZ22" s="59">
        <f t="shared" si="13"/>
        <v>1414.9</v>
      </c>
      <c r="EA22" s="59">
        <f t="shared" si="13"/>
        <v>909.89</v>
      </c>
      <c r="EB22" s="59">
        <f t="shared" ref="EB22:GM22" si="14">EB19-EB20</f>
        <v>-1454.17</v>
      </c>
      <c r="EC22" s="59">
        <f t="shared" si="14"/>
        <v>-100.64</v>
      </c>
      <c r="ED22" s="59">
        <f t="shared" si="14"/>
        <v>733.34</v>
      </c>
      <c r="EE22" s="59">
        <f t="shared" si="14"/>
        <v>-515.07999999999993</v>
      </c>
      <c r="EF22" s="59">
        <f t="shared" si="14"/>
        <v>2104.12</v>
      </c>
      <c r="EG22" s="59">
        <f t="shared" si="14"/>
        <v>-1514.5800000000002</v>
      </c>
      <c r="EH22" s="59">
        <f t="shared" si="14"/>
        <v>-162.33999999999997</v>
      </c>
      <c r="EI22" s="59">
        <f t="shared" si="14"/>
        <v>550.02</v>
      </c>
      <c r="EJ22" s="59">
        <f t="shared" si="14"/>
        <v>-75.22999999999999</v>
      </c>
      <c r="EK22" s="59">
        <f t="shared" si="14"/>
        <v>769.3</v>
      </c>
      <c r="EL22" s="59">
        <f t="shared" si="14"/>
        <v>-853.57999999999993</v>
      </c>
      <c r="EM22" s="59">
        <f t="shared" si="14"/>
        <v>-153.86000000000001</v>
      </c>
      <c r="EN22" s="59">
        <f t="shared" si="14"/>
        <v>653.75</v>
      </c>
      <c r="EO22" s="59">
        <f t="shared" si="14"/>
        <v>-64.2</v>
      </c>
      <c r="EP22" s="59">
        <f t="shared" si="14"/>
        <v>906.68999999999994</v>
      </c>
      <c r="EQ22" s="59">
        <f t="shared" si="14"/>
        <v>-764.81</v>
      </c>
      <c r="ER22" s="59">
        <f t="shared" si="14"/>
        <v>-58.46</v>
      </c>
      <c r="ES22" s="59">
        <f t="shared" si="14"/>
        <v>1927.23</v>
      </c>
      <c r="ET22" s="59">
        <f t="shared" si="14"/>
        <v>0</v>
      </c>
      <c r="EU22" s="59">
        <f t="shared" si="14"/>
        <v>851.81999999999994</v>
      </c>
      <c r="EV22" s="59">
        <f t="shared" si="14"/>
        <v>-803.28</v>
      </c>
      <c r="EW22" s="59">
        <f t="shared" si="14"/>
        <v>1101.07</v>
      </c>
      <c r="EX22" s="59">
        <f t="shared" si="14"/>
        <v>777.23</v>
      </c>
      <c r="EY22" s="59">
        <f t="shared" si="14"/>
        <v>-83</v>
      </c>
      <c r="EZ22" s="59">
        <f t="shared" si="14"/>
        <v>1006.65</v>
      </c>
      <c r="FA22" s="59">
        <f t="shared" si="14"/>
        <v>-1825.9100000000003</v>
      </c>
      <c r="FB22" s="59">
        <f t="shared" si="14"/>
        <v>1951.07</v>
      </c>
      <c r="FC22" s="59">
        <f t="shared" si="14"/>
        <v>338.89000000000004</v>
      </c>
      <c r="FD22" s="59">
        <f t="shared" si="14"/>
        <v>0</v>
      </c>
      <c r="FE22" s="59">
        <f t="shared" si="14"/>
        <v>1270.3699999999999</v>
      </c>
      <c r="FF22" s="59">
        <f t="shared" si="14"/>
        <v>-2522.04</v>
      </c>
      <c r="FG22" s="59">
        <f t="shared" si="14"/>
        <v>1951.07</v>
      </c>
      <c r="FH22" s="59">
        <f t="shared" si="14"/>
        <v>0</v>
      </c>
      <c r="FI22" s="59">
        <f t="shared" si="14"/>
        <v>900.39</v>
      </c>
      <c r="FJ22" s="59">
        <f t="shared" si="14"/>
        <v>1147.2099999999998</v>
      </c>
      <c r="FK22" s="59">
        <f t="shared" si="14"/>
        <v>-669.54</v>
      </c>
      <c r="FL22" s="59">
        <f t="shared" si="14"/>
        <v>1940.55</v>
      </c>
      <c r="FM22" s="59">
        <f t="shared" si="14"/>
        <v>857.72</v>
      </c>
      <c r="FN22" s="59">
        <f t="shared" si="14"/>
        <v>100</v>
      </c>
      <c r="FO22" s="59">
        <f t="shared" si="14"/>
        <v>1147.2099999999998</v>
      </c>
      <c r="FP22" s="59">
        <f t="shared" si="14"/>
        <v>-699.72</v>
      </c>
      <c r="FQ22" s="59">
        <f t="shared" si="14"/>
        <v>1951.07</v>
      </c>
      <c r="FR22" s="59">
        <f t="shared" si="14"/>
        <v>900.39</v>
      </c>
      <c r="FS22" s="59">
        <f t="shared" si="14"/>
        <v>-1050</v>
      </c>
      <c r="FT22" s="59">
        <f t="shared" si="14"/>
        <v>9590.85</v>
      </c>
      <c r="FU22" s="59">
        <f t="shared" si="14"/>
        <v>-1047.5899999999999</v>
      </c>
      <c r="FV22" s="59">
        <f t="shared" si="14"/>
        <v>1873.96</v>
      </c>
      <c r="FW22" s="59">
        <f t="shared" si="14"/>
        <v>0</v>
      </c>
      <c r="FX22" s="59">
        <f t="shared" si="14"/>
        <v>695.69999999999982</v>
      </c>
      <c r="FY22" s="59">
        <f t="shared" si="14"/>
        <v>-57.649999999999991</v>
      </c>
      <c r="FZ22" s="59">
        <f t="shared" si="14"/>
        <v>-1837.67</v>
      </c>
      <c r="GA22" s="59">
        <f t="shared" si="14"/>
        <v>1733.17</v>
      </c>
      <c r="GB22" s="59">
        <f t="shared" si="14"/>
        <v>874.99</v>
      </c>
      <c r="GC22" s="59">
        <f t="shared" si="14"/>
        <v>-42.980000000000004</v>
      </c>
      <c r="GD22" s="59">
        <f t="shared" si="14"/>
        <v>1178.52</v>
      </c>
      <c r="GE22" s="59">
        <f t="shared" si="14"/>
        <v>-1331.69</v>
      </c>
      <c r="GF22" s="59">
        <f t="shared" si="14"/>
        <v>1951.07</v>
      </c>
      <c r="GG22" s="59">
        <f t="shared" si="14"/>
        <v>326.86</v>
      </c>
      <c r="GH22" s="59">
        <f t="shared" si="14"/>
        <v>-809.53</v>
      </c>
      <c r="GI22" s="59">
        <f t="shared" si="14"/>
        <v>1178.52</v>
      </c>
      <c r="GJ22" s="59">
        <f t="shared" si="14"/>
        <v>-1237.01</v>
      </c>
      <c r="GK22" s="59">
        <f t="shared" si="14"/>
        <v>1739.52</v>
      </c>
      <c r="GL22" s="59">
        <f t="shared" si="14"/>
        <v>487.60000000000014</v>
      </c>
      <c r="GM22" s="59">
        <f t="shared" si="14"/>
        <v>-15.9</v>
      </c>
      <c r="GN22" s="59">
        <f t="shared" ref="GN22:IY22" si="15">GN19-GN20</f>
        <v>1253.52</v>
      </c>
      <c r="GO22" s="59">
        <f t="shared" si="15"/>
        <v>-388.44999999999993</v>
      </c>
      <c r="GP22" s="59">
        <f t="shared" si="15"/>
        <v>1949.74</v>
      </c>
      <c r="GQ22" s="59">
        <f t="shared" si="15"/>
        <v>907.86</v>
      </c>
      <c r="GR22" s="59">
        <f t="shared" si="15"/>
        <v>-72.400000000000006</v>
      </c>
      <c r="GS22" s="59">
        <f t="shared" si="15"/>
        <v>0</v>
      </c>
      <c r="GT22" s="59">
        <f t="shared" si="15"/>
        <v>1840.48</v>
      </c>
      <c r="GU22" s="59">
        <f t="shared" si="15"/>
        <v>1805.51</v>
      </c>
      <c r="GV22" s="59">
        <f t="shared" si="15"/>
        <v>926.86</v>
      </c>
      <c r="GW22" s="59">
        <f t="shared" si="15"/>
        <v>-313.39</v>
      </c>
      <c r="GX22" s="59">
        <f t="shared" si="15"/>
        <v>-1021.48</v>
      </c>
      <c r="GY22" s="59">
        <f t="shared" si="15"/>
        <v>-2730.9900000000002</v>
      </c>
      <c r="GZ22" s="59">
        <f t="shared" si="15"/>
        <v>-3472.13</v>
      </c>
      <c r="HA22" s="59">
        <f t="shared" si="15"/>
        <v>-26801.13</v>
      </c>
      <c r="HB22" s="59">
        <f t="shared" si="15"/>
        <v>-15110.939999999999</v>
      </c>
      <c r="HC22" s="59">
        <f t="shared" si="15"/>
        <v>-21637.839999999997</v>
      </c>
      <c r="HD22" s="59">
        <f t="shared" si="15"/>
        <v>-728.81</v>
      </c>
      <c r="HE22" s="59">
        <f t="shared" si="15"/>
        <v>1931.08</v>
      </c>
      <c r="HF22" s="59">
        <f t="shared" si="15"/>
        <v>876.86</v>
      </c>
      <c r="HG22" s="59">
        <f t="shared" si="15"/>
        <v>-2476.8000000000002</v>
      </c>
      <c r="HH22" s="59">
        <f t="shared" si="15"/>
        <v>1178.52</v>
      </c>
      <c r="HI22" s="59">
        <f t="shared" si="15"/>
        <v>-445</v>
      </c>
      <c r="HJ22" s="59">
        <f t="shared" si="15"/>
        <v>-6.9800000000000182</v>
      </c>
      <c r="HK22" s="59">
        <f t="shared" si="15"/>
        <v>-1710.1399999999999</v>
      </c>
      <c r="HL22" s="59">
        <f t="shared" si="15"/>
        <v>-1355.3899999999999</v>
      </c>
      <c r="HM22" s="59">
        <f t="shared" si="15"/>
        <v>3791.33</v>
      </c>
      <c r="HN22" s="59">
        <f t="shared" si="15"/>
        <v>-2063.9899999999998</v>
      </c>
      <c r="HO22" s="59">
        <f t="shared" si="15"/>
        <v>108.01999999999998</v>
      </c>
      <c r="HP22" s="59">
        <f t="shared" si="15"/>
        <v>-2461.8000000000002</v>
      </c>
      <c r="HQ22" s="59">
        <f t="shared" si="15"/>
        <v>-117.69</v>
      </c>
      <c r="HR22" s="59">
        <f t="shared" si="15"/>
        <v>-63.710000000000036</v>
      </c>
      <c r="HS22" s="59">
        <f t="shared" si="15"/>
        <v>-576.41999999999996</v>
      </c>
      <c r="HT22" s="59">
        <f t="shared" si="15"/>
        <v>2297.9899999999998</v>
      </c>
      <c r="HU22" s="59">
        <f t="shared" si="15"/>
        <v>2396</v>
      </c>
      <c r="HV22" s="59">
        <f t="shared" si="15"/>
        <v>-617.09</v>
      </c>
      <c r="HW22" s="59">
        <f t="shared" si="15"/>
        <v>2146.35</v>
      </c>
      <c r="HX22" s="59">
        <f t="shared" si="15"/>
        <v>-991.6400000000001</v>
      </c>
      <c r="HY22" s="59">
        <f t="shared" si="15"/>
        <v>1774.73</v>
      </c>
      <c r="HZ22" s="59">
        <f t="shared" si="15"/>
        <v>2495.0099999999998</v>
      </c>
      <c r="IA22" s="59">
        <f t="shared" si="15"/>
        <v>-670.79</v>
      </c>
      <c r="IB22" s="59">
        <f t="shared" si="15"/>
        <v>17010.439999999999</v>
      </c>
      <c r="IC22" s="59">
        <f t="shared" si="15"/>
        <v>-432.19000000000005</v>
      </c>
      <c r="ID22" s="59">
        <f t="shared" si="15"/>
        <v>-16720.16</v>
      </c>
      <c r="IE22" s="59">
        <f t="shared" si="15"/>
        <v>-1038.67</v>
      </c>
      <c r="IF22" s="59">
        <f t="shared" si="15"/>
        <v>1250.1699999999998</v>
      </c>
      <c r="IG22" s="59">
        <f t="shared" si="15"/>
        <v>-12355.590000000002</v>
      </c>
      <c r="IH22" s="59">
        <f t="shared" si="15"/>
        <v>-127.32</v>
      </c>
      <c r="II22" s="59">
        <f t="shared" si="15"/>
        <v>3007.32</v>
      </c>
      <c r="IJ22" s="59">
        <f t="shared" si="15"/>
        <v>2650.08</v>
      </c>
      <c r="IK22" s="59">
        <f t="shared" si="15"/>
        <v>-218.88000000000002</v>
      </c>
      <c r="IL22" s="59">
        <f t="shared" si="15"/>
        <v>1003.93</v>
      </c>
      <c r="IM22" s="59">
        <f t="shared" si="15"/>
        <v>-1018.5999999999999</v>
      </c>
      <c r="IN22" s="59">
        <f t="shared" si="15"/>
        <v>1857.27</v>
      </c>
      <c r="IO22" s="59">
        <f t="shared" si="15"/>
        <v>-1663.99</v>
      </c>
      <c r="IP22" s="59">
        <f t="shared" si="15"/>
        <v>2472.08</v>
      </c>
      <c r="IQ22" s="59">
        <f t="shared" si="15"/>
        <v>1656.1499999999999</v>
      </c>
      <c r="IR22" s="59">
        <f t="shared" si="15"/>
        <v>-1476.9299999999998</v>
      </c>
      <c r="IS22" s="59">
        <f t="shared" si="15"/>
        <v>-1155.0499999999997</v>
      </c>
      <c r="IT22" s="59">
        <f t="shared" si="15"/>
        <v>-674.33</v>
      </c>
      <c r="IU22" s="59">
        <f t="shared" si="15"/>
        <v>-192.51000000000022</v>
      </c>
      <c r="IV22" s="59">
        <f t="shared" si="15"/>
        <v>-1300.1500000000001</v>
      </c>
      <c r="IW22" s="59">
        <f t="shared" si="15"/>
        <v>-993.95</v>
      </c>
      <c r="IX22" s="59">
        <f t="shared" si="15"/>
        <v>-4681.25</v>
      </c>
      <c r="IY22" s="59">
        <f t="shared" si="15"/>
        <v>650.07999999999993</v>
      </c>
      <c r="IZ22" s="59">
        <f t="shared" ref="IZ22:LK22" si="16">IZ19-IZ20</f>
        <v>-2020</v>
      </c>
      <c r="JA22" s="59">
        <f t="shared" si="16"/>
        <v>-193.65000000000009</v>
      </c>
      <c r="JB22" s="59">
        <f t="shared" si="16"/>
        <v>-3133.79</v>
      </c>
      <c r="JC22" s="59">
        <f t="shared" si="16"/>
        <v>2625.17</v>
      </c>
      <c r="JD22" s="59">
        <f t="shared" si="16"/>
        <v>8436.869999999999</v>
      </c>
      <c r="JE22" s="59">
        <f t="shared" si="16"/>
        <v>-450.22</v>
      </c>
      <c r="JF22" s="59">
        <f t="shared" si="16"/>
        <v>-584.80999999999995</v>
      </c>
      <c r="JG22" s="59">
        <f t="shared" si="16"/>
        <v>-3056.8900000000003</v>
      </c>
      <c r="JH22" s="59">
        <f t="shared" si="16"/>
        <v>6421.5599999999995</v>
      </c>
      <c r="JI22" s="59">
        <f t="shared" si="16"/>
        <v>-348.68</v>
      </c>
      <c r="JJ22" s="59">
        <f t="shared" si="16"/>
        <v>-143</v>
      </c>
      <c r="JK22" s="59">
        <f t="shared" si="16"/>
        <v>3720.41</v>
      </c>
      <c r="JL22" s="59">
        <f t="shared" si="16"/>
        <v>-3080.88</v>
      </c>
      <c r="JM22" s="59">
        <f t="shared" si="16"/>
        <v>14197.16</v>
      </c>
      <c r="JN22" s="59">
        <f t="shared" si="16"/>
        <v>-3359.99</v>
      </c>
      <c r="JO22" s="59">
        <f t="shared" si="16"/>
        <v>-2624.4500000000003</v>
      </c>
      <c r="JP22" s="59">
        <f t="shared" si="16"/>
        <v>-2794.86</v>
      </c>
      <c r="JQ22" s="59">
        <f t="shared" si="16"/>
        <v>-4327.53</v>
      </c>
      <c r="JR22" s="59">
        <f t="shared" si="16"/>
        <v>2975.74</v>
      </c>
      <c r="JS22" s="59">
        <f t="shared" si="16"/>
        <v>-2933.4700000000003</v>
      </c>
      <c r="JT22" s="59">
        <f t="shared" si="16"/>
        <v>-5481.71</v>
      </c>
      <c r="JU22" s="59">
        <f t="shared" si="16"/>
        <v>-837.88999999999987</v>
      </c>
      <c r="JV22" s="59">
        <f t="shared" si="16"/>
        <v>-868.19000000000028</v>
      </c>
      <c r="JW22" s="59">
        <f t="shared" si="16"/>
        <v>6596.08</v>
      </c>
      <c r="JX22" s="59">
        <f t="shared" si="16"/>
        <v>-1144.9000000000001</v>
      </c>
      <c r="JY22" s="59">
        <f t="shared" si="16"/>
        <v>-1009.5</v>
      </c>
      <c r="JZ22" s="59">
        <f t="shared" si="16"/>
        <v>-511.49</v>
      </c>
      <c r="KA22" s="59">
        <f t="shared" si="16"/>
        <v>-2016.8600000000001</v>
      </c>
      <c r="KB22" s="59">
        <f t="shared" si="16"/>
        <v>6001.19</v>
      </c>
      <c r="KC22" s="59">
        <f t="shared" si="16"/>
        <v>-500</v>
      </c>
      <c r="KD22" s="59">
        <f t="shared" si="16"/>
        <v>-1000</v>
      </c>
      <c r="KE22" s="59">
        <f t="shared" si="16"/>
        <v>-1445.62</v>
      </c>
      <c r="KF22" s="59">
        <f t="shared" si="16"/>
        <v>-1576.7799999999997</v>
      </c>
      <c r="KG22" s="59">
        <f t="shared" si="16"/>
        <v>4733.41</v>
      </c>
      <c r="KH22" s="59">
        <f t="shared" si="16"/>
        <v>-1000</v>
      </c>
      <c r="KI22" s="59">
        <f t="shared" si="16"/>
        <v>-1000</v>
      </c>
      <c r="KJ22" s="59">
        <f t="shared" si="16"/>
        <v>-621</v>
      </c>
      <c r="KK22" s="59">
        <f t="shared" si="16"/>
        <v>-2899.86</v>
      </c>
      <c r="KL22" s="59">
        <f t="shared" si="16"/>
        <v>4790.51</v>
      </c>
      <c r="KM22" s="59">
        <f t="shared" si="16"/>
        <v>-139.66</v>
      </c>
      <c r="KN22" s="59">
        <f t="shared" si="16"/>
        <v>-429.90999999999997</v>
      </c>
      <c r="KO22" s="59">
        <f t="shared" si="16"/>
        <v>-507.76</v>
      </c>
      <c r="KP22" s="59">
        <f t="shared" si="16"/>
        <v>-2520.4800000000005</v>
      </c>
      <c r="KQ22" s="59">
        <f t="shared" si="16"/>
        <v>35595.43</v>
      </c>
      <c r="KR22" s="59">
        <f t="shared" si="16"/>
        <v>-3895.4799999999996</v>
      </c>
      <c r="KS22" s="59">
        <f t="shared" si="16"/>
        <v>-10710.43</v>
      </c>
      <c r="KT22" s="59">
        <f t="shared" si="16"/>
        <v>-1100.5999999999999</v>
      </c>
      <c r="KU22" s="59">
        <f t="shared" si="16"/>
        <v>-2125</v>
      </c>
      <c r="KV22" s="59">
        <f t="shared" si="16"/>
        <v>3317.3100000000004</v>
      </c>
      <c r="KW22" s="59">
        <f t="shared" si="16"/>
        <v>-591</v>
      </c>
      <c r="KX22" s="59">
        <f t="shared" si="16"/>
        <v>-89.899999999999991</v>
      </c>
      <c r="KY22" s="59">
        <f t="shared" si="16"/>
        <v>-534.82000000000005</v>
      </c>
      <c r="KZ22" s="59">
        <f t="shared" si="16"/>
        <v>-574.4899999999999</v>
      </c>
      <c r="LA22" s="59">
        <f t="shared" si="16"/>
        <v>-159.80000000000018</v>
      </c>
      <c r="LB22" s="59">
        <f t="shared" si="16"/>
        <v>-182.54</v>
      </c>
      <c r="LC22" s="59">
        <f t="shared" si="16"/>
        <v>-672.05</v>
      </c>
      <c r="LD22" s="59">
        <f t="shared" si="16"/>
        <v>-260.18</v>
      </c>
      <c r="LE22" s="59">
        <f t="shared" si="16"/>
        <v>-1717.69</v>
      </c>
      <c r="LF22" s="59">
        <f t="shared" si="16"/>
        <v>3473.2699999999995</v>
      </c>
      <c r="LG22" s="59">
        <f t="shared" si="16"/>
        <v>-935.34999999999991</v>
      </c>
      <c r="LH22" s="59">
        <f t="shared" si="16"/>
        <v>-298.26</v>
      </c>
      <c r="LI22" s="59">
        <f t="shared" si="16"/>
        <v>-758.00999999999988</v>
      </c>
      <c r="LJ22" s="59">
        <f t="shared" si="16"/>
        <v>-1359.5800000000002</v>
      </c>
      <c r="LK22" s="59">
        <f t="shared" si="16"/>
        <v>4597.5599999999995</v>
      </c>
      <c r="LL22" s="59">
        <f t="shared" ref="LL22:MX22" si="17">LL19-LL20</f>
        <v>-927.52</v>
      </c>
      <c r="LM22" s="59">
        <f t="shared" si="17"/>
        <v>-608.97</v>
      </c>
      <c r="LN22" s="59">
        <f t="shared" si="17"/>
        <v>-318.83</v>
      </c>
      <c r="LO22" s="59">
        <f t="shared" si="17"/>
        <v>-2230.41</v>
      </c>
      <c r="LP22" s="59">
        <f t="shared" si="17"/>
        <v>4175.41</v>
      </c>
      <c r="LQ22" s="59">
        <f t="shared" si="17"/>
        <v>-38.700000000000003</v>
      </c>
      <c r="LR22" s="59">
        <f t="shared" si="17"/>
        <v>-229.06</v>
      </c>
      <c r="LS22" s="59">
        <f t="shared" si="17"/>
        <v>-415.66</v>
      </c>
      <c r="LT22" s="59">
        <f t="shared" si="17"/>
        <v>-2681.29</v>
      </c>
      <c r="LU22" s="59">
        <f t="shared" si="17"/>
        <v>-10508.260000000002</v>
      </c>
      <c r="LV22" s="59">
        <f t="shared" si="17"/>
        <v>-1057.98</v>
      </c>
      <c r="LW22" s="59">
        <f t="shared" si="17"/>
        <v>-334.93</v>
      </c>
      <c r="LX22" s="59">
        <f t="shared" si="17"/>
        <v>-308.39999999999998</v>
      </c>
      <c r="LY22" s="59">
        <f t="shared" si="17"/>
        <v>-3537.23</v>
      </c>
      <c r="LZ22" s="59">
        <f t="shared" si="17"/>
        <v>5139.8799999999992</v>
      </c>
      <c r="MA22" s="59">
        <f t="shared" si="17"/>
        <v>-807.29000000000008</v>
      </c>
      <c r="MB22" s="59">
        <f t="shared" si="17"/>
        <v>-2068.64</v>
      </c>
      <c r="MC22" s="59">
        <f t="shared" si="17"/>
        <v>-1056.5499999999997</v>
      </c>
      <c r="MD22" s="59">
        <f t="shared" si="17"/>
        <v>-2494.9300000000007</v>
      </c>
      <c r="ME22" s="59">
        <f t="shared" si="17"/>
        <v>4684.2300000000005</v>
      </c>
      <c r="MF22" s="59">
        <f t="shared" si="17"/>
        <v>-1155.1500000000001</v>
      </c>
      <c r="MG22" s="59">
        <f t="shared" si="17"/>
        <v>-408.09000000000003</v>
      </c>
      <c r="MH22" s="59">
        <f t="shared" si="17"/>
        <v>-833.41</v>
      </c>
      <c r="MI22" s="59">
        <f t="shared" si="17"/>
        <v>-2373.2000000000003</v>
      </c>
      <c r="MJ22" s="59">
        <f t="shared" si="17"/>
        <v>2362.66</v>
      </c>
      <c r="MK22" s="59">
        <f t="shared" si="17"/>
        <v>-358.86</v>
      </c>
      <c r="ML22" s="59">
        <f t="shared" si="17"/>
        <v>-174.82</v>
      </c>
      <c r="MM22" s="59">
        <f t="shared" si="17"/>
        <v>-360.09000000000003</v>
      </c>
      <c r="MN22" s="59">
        <f t="shared" si="17"/>
        <v>-2261.5299999999997</v>
      </c>
      <c r="MO22" s="59">
        <f t="shared" si="17"/>
        <v>1934.6999999999998</v>
      </c>
      <c r="MP22" s="59">
        <f t="shared" si="17"/>
        <v>0</v>
      </c>
      <c r="MQ22" s="59">
        <f t="shared" si="17"/>
        <v>-408.86</v>
      </c>
      <c r="MR22" s="59">
        <f t="shared" si="17"/>
        <v>-99.9</v>
      </c>
      <c r="MS22" s="59">
        <f t="shared" si="17"/>
        <v>-3500.77</v>
      </c>
      <c r="MT22" s="59">
        <f t="shared" si="17"/>
        <v>3705.62</v>
      </c>
      <c r="MU22" s="59">
        <f t="shared" si="17"/>
        <v>0</v>
      </c>
      <c r="MV22" s="59">
        <f t="shared" si="17"/>
        <v>0</v>
      </c>
      <c r="MW22" s="59">
        <f t="shared" si="17"/>
        <v>-599.9</v>
      </c>
      <c r="MX22" s="59">
        <f t="shared" si="17"/>
        <v>-1878.5200000000002</v>
      </c>
      <c r="MY22" s="2"/>
    </row>
    <row r="23" spans="1:363">
      <c r="A23" s="111"/>
      <c r="B23" s="51" t="s">
        <v>98</v>
      </c>
      <c r="C23" s="52">
        <f>C22</f>
        <v>-302.5</v>
      </c>
      <c r="D23" s="52">
        <f>C23+D19-D20</f>
        <v>1087.9659999999999</v>
      </c>
      <c r="E23" s="52">
        <f t="shared" ref="E23:BP23" si="18">D23+E19-E20</f>
        <v>654.52599999999995</v>
      </c>
      <c r="F23" s="52">
        <f t="shared" si="18"/>
        <v>1204.53</v>
      </c>
      <c r="G23" s="52">
        <f t="shared" si="18"/>
        <v>1204.53</v>
      </c>
      <c r="H23" s="52">
        <f t="shared" si="18"/>
        <v>1001.8399999999999</v>
      </c>
      <c r="I23" s="52">
        <f t="shared" si="18"/>
        <v>1596.6299999999999</v>
      </c>
      <c r="J23" s="52">
        <f t="shared" si="18"/>
        <v>1083.23</v>
      </c>
      <c r="K23" s="52">
        <f t="shared" si="18"/>
        <v>906.98</v>
      </c>
      <c r="L23" s="52">
        <f t="shared" si="18"/>
        <v>906.98</v>
      </c>
      <c r="M23" s="52">
        <f t="shared" si="18"/>
        <v>631.28000000000009</v>
      </c>
      <c r="N23" s="52">
        <f t="shared" si="18"/>
        <v>1033.19</v>
      </c>
      <c r="O23" s="52">
        <f t="shared" si="18"/>
        <v>895.51</v>
      </c>
      <c r="P23" s="52">
        <f t="shared" si="18"/>
        <v>1419.69</v>
      </c>
      <c r="Q23" s="52">
        <f t="shared" si="18"/>
        <v>1419.69</v>
      </c>
      <c r="R23" s="52">
        <f t="shared" si="18"/>
        <v>2416.1799999999998</v>
      </c>
      <c r="S23" s="52">
        <f t="shared" si="18"/>
        <v>3035.2699999999995</v>
      </c>
      <c r="T23" s="52">
        <f t="shared" si="18"/>
        <v>2959.8699999999994</v>
      </c>
      <c r="U23" s="52">
        <f t="shared" si="18"/>
        <v>3380.3899999999994</v>
      </c>
      <c r="V23" s="52">
        <f t="shared" si="18"/>
        <v>3380.3899999999994</v>
      </c>
      <c r="W23" s="52">
        <f t="shared" si="18"/>
        <v>3145.4199999999996</v>
      </c>
      <c r="X23" s="52">
        <f t="shared" si="18"/>
        <v>5358.6299999999992</v>
      </c>
      <c r="Y23" s="52">
        <f t="shared" si="18"/>
        <v>5082.329999999999</v>
      </c>
      <c r="Z23" s="52">
        <f t="shared" si="18"/>
        <v>5867.3899999999985</v>
      </c>
      <c r="AA23" s="52">
        <f t="shared" si="18"/>
        <v>5867.3899999999985</v>
      </c>
      <c r="AB23" s="52">
        <f t="shared" si="18"/>
        <v>5688.8299999999981</v>
      </c>
      <c r="AC23" s="52">
        <f t="shared" si="18"/>
        <v>7157.0999999999985</v>
      </c>
      <c r="AD23" s="52">
        <f t="shared" si="18"/>
        <v>7008.1399999999985</v>
      </c>
      <c r="AE23" s="52">
        <f t="shared" si="18"/>
        <v>7440.8299999999981</v>
      </c>
      <c r="AF23" s="52">
        <f t="shared" si="18"/>
        <v>7440.8299999999981</v>
      </c>
      <c r="AG23" s="52">
        <f t="shared" si="18"/>
        <v>7365.8299999999981</v>
      </c>
      <c r="AH23" s="52">
        <f t="shared" si="18"/>
        <v>7818.1899999999987</v>
      </c>
      <c r="AI23" s="52">
        <f t="shared" si="18"/>
        <v>9074.119999999999</v>
      </c>
      <c r="AJ23" s="52">
        <f t="shared" si="18"/>
        <v>9475.65</v>
      </c>
      <c r="AK23" s="52">
        <f t="shared" si="18"/>
        <v>9475.65</v>
      </c>
      <c r="AL23" s="52">
        <f t="shared" si="18"/>
        <v>8924.68</v>
      </c>
      <c r="AM23" s="52">
        <f t="shared" si="18"/>
        <v>11224.810000000001</v>
      </c>
      <c r="AN23" s="52">
        <f t="shared" si="18"/>
        <v>9560.61</v>
      </c>
      <c r="AO23" s="52">
        <f t="shared" si="18"/>
        <v>10166.650000000001</v>
      </c>
      <c r="AP23" s="52">
        <f t="shared" si="18"/>
        <v>10166.650000000001</v>
      </c>
      <c r="AQ23" s="52">
        <f t="shared" si="18"/>
        <v>10115.960000000001</v>
      </c>
      <c r="AR23" s="52">
        <f t="shared" si="18"/>
        <v>10722.630000000001</v>
      </c>
      <c r="AS23" s="52">
        <f t="shared" si="18"/>
        <v>12330.330000000002</v>
      </c>
      <c r="AT23" s="52">
        <f t="shared" si="18"/>
        <v>12429.44</v>
      </c>
      <c r="AU23" s="52">
        <f t="shared" si="18"/>
        <v>12429.44</v>
      </c>
      <c r="AV23" s="52">
        <f t="shared" si="18"/>
        <v>12399.380000000001</v>
      </c>
      <c r="AW23" s="52">
        <f t="shared" si="18"/>
        <v>12709.300000000001</v>
      </c>
      <c r="AX23" s="52">
        <f t="shared" si="18"/>
        <v>12495.320000000002</v>
      </c>
      <c r="AY23" s="52">
        <f t="shared" si="18"/>
        <v>13478.960000000003</v>
      </c>
      <c r="AZ23" s="52">
        <f t="shared" si="18"/>
        <v>13478.960000000003</v>
      </c>
      <c r="BA23" s="52">
        <f t="shared" si="18"/>
        <v>13208.340000000002</v>
      </c>
      <c r="BB23" s="52">
        <f t="shared" si="18"/>
        <v>13865.750000000002</v>
      </c>
      <c r="BC23" s="52">
        <f t="shared" si="18"/>
        <v>13730.910000000002</v>
      </c>
      <c r="BD23" s="52">
        <f t="shared" si="18"/>
        <v>19154.700000000004</v>
      </c>
      <c r="BE23" s="52">
        <f t="shared" si="18"/>
        <v>19015.950000000004</v>
      </c>
      <c r="BF23" s="52">
        <f t="shared" si="18"/>
        <v>19007.930000000004</v>
      </c>
      <c r="BG23" s="52">
        <f t="shared" si="18"/>
        <v>19759.190000000006</v>
      </c>
      <c r="BH23" s="52">
        <f t="shared" si="18"/>
        <v>20116.450000000008</v>
      </c>
      <c r="BI23" s="52">
        <f t="shared" si="18"/>
        <v>19956.380000000008</v>
      </c>
      <c r="BJ23" s="52">
        <f t="shared" si="18"/>
        <v>19242.290000000008</v>
      </c>
      <c r="BK23" s="52">
        <f t="shared" si="18"/>
        <v>19127.170000000009</v>
      </c>
      <c r="BL23" s="52">
        <f t="shared" si="18"/>
        <v>20184.71000000001</v>
      </c>
      <c r="BM23" s="52">
        <f t="shared" si="18"/>
        <v>17607.910000000011</v>
      </c>
      <c r="BN23" s="52">
        <f t="shared" si="18"/>
        <v>18253.560000000012</v>
      </c>
      <c r="BO23" s="52">
        <f t="shared" si="18"/>
        <v>17803.150000000012</v>
      </c>
      <c r="BP23" s="52">
        <f t="shared" si="18"/>
        <v>17760.650000000012</v>
      </c>
      <c r="BQ23" s="52">
        <f t="shared" ref="BQ23:EB23" si="19">BP23+BQ19-BQ20</f>
        <v>19941.690000000013</v>
      </c>
      <c r="BR23" s="52">
        <f t="shared" si="19"/>
        <v>19821.020000000015</v>
      </c>
      <c r="BS23" s="52">
        <f t="shared" si="19"/>
        <v>20250.290000000015</v>
      </c>
      <c r="BT23" s="52">
        <f t="shared" si="19"/>
        <v>19926.690000000017</v>
      </c>
      <c r="BU23" s="52">
        <f t="shared" si="19"/>
        <v>19734.510000000017</v>
      </c>
      <c r="BV23" s="52">
        <f t="shared" si="19"/>
        <v>20467.150000000016</v>
      </c>
      <c r="BW23" s="52">
        <f t="shared" si="19"/>
        <v>20361.410000000018</v>
      </c>
      <c r="BX23" s="52">
        <f t="shared" si="19"/>
        <v>21823.660000000018</v>
      </c>
      <c r="BY23" s="52">
        <f t="shared" si="19"/>
        <v>21128.630000000019</v>
      </c>
      <c r="BZ23" s="52">
        <f t="shared" si="19"/>
        <v>20944.640000000018</v>
      </c>
      <c r="CA23" s="52">
        <f t="shared" si="19"/>
        <v>21674.540000000019</v>
      </c>
      <c r="CB23" s="52">
        <f t="shared" si="19"/>
        <v>22396.380000000019</v>
      </c>
      <c r="CC23" s="52">
        <f t="shared" si="19"/>
        <v>23001.380000000019</v>
      </c>
      <c r="CD23" s="52">
        <f t="shared" si="19"/>
        <v>22643.370000000021</v>
      </c>
      <c r="CE23" s="52">
        <f t="shared" si="19"/>
        <v>22322.160000000022</v>
      </c>
      <c r="CF23" s="52">
        <f t="shared" si="19"/>
        <v>24021.200000000023</v>
      </c>
      <c r="CG23" s="52">
        <f t="shared" si="19"/>
        <v>23986.330000000024</v>
      </c>
      <c r="CH23" s="52">
        <f t="shared" si="19"/>
        <v>24740.820000000025</v>
      </c>
      <c r="CI23" s="52">
        <f t="shared" si="19"/>
        <v>24041.980000000025</v>
      </c>
      <c r="CJ23" s="52">
        <f t="shared" si="19"/>
        <v>23957.570000000025</v>
      </c>
      <c r="CK23" s="52">
        <f t="shared" si="19"/>
        <v>25686.530000000024</v>
      </c>
      <c r="CL23" s="52">
        <f t="shared" si="19"/>
        <v>25548.920000000024</v>
      </c>
      <c r="CM23" s="52">
        <f t="shared" si="19"/>
        <v>26139.650000000023</v>
      </c>
      <c r="CN23" s="52">
        <f t="shared" si="19"/>
        <v>25640.520000000022</v>
      </c>
      <c r="CO23" s="52">
        <f t="shared" si="19"/>
        <v>25502.360000000022</v>
      </c>
      <c r="CP23" s="52">
        <f t="shared" si="19"/>
        <v>26124.320000000022</v>
      </c>
      <c r="CQ23" s="52">
        <f t="shared" si="19"/>
        <v>26901.050000000021</v>
      </c>
      <c r="CR23" s="52">
        <f t="shared" si="19"/>
        <v>27291.280000000021</v>
      </c>
      <c r="CS23" s="52">
        <f t="shared" si="19"/>
        <v>25679.700000000019</v>
      </c>
      <c r="CT23" s="52">
        <f t="shared" si="19"/>
        <v>25608.310000000019</v>
      </c>
      <c r="CU23" s="52">
        <f t="shared" si="19"/>
        <v>26332.360000000019</v>
      </c>
      <c r="CV23" s="52">
        <f t="shared" si="19"/>
        <v>27282.560000000019</v>
      </c>
      <c r="CW23" s="52">
        <f t="shared" si="19"/>
        <v>28151.280000000021</v>
      </c>
      <c r="CX23" s="52">
        <f t="shared" si="19"/>
        <v>27239.390000000021</v>
      </c>
      <c r="CY23" s="52">
        <f t="shared" si="19"/>
        <v>27132.58000000002</v>
      </c>
      <c r="CZ23" s="52">
        <f t="shared" si="19"/>
        <v>28779.620000000021</v>
      </c>
      <c r="DA23" s="52">
        <f t="shared" si="19"/>
        <v>28742.620000000021</v>
      </c>
      <c r="DB23" s="52">
        <f t="shared" si="19"/>
        <v>29653.200000000023</v>
      </c>
      <c r="DC23" s="52">
        <f t="shared" si="19"/>
        <v>27883.390000000021</v>
      </c>
      <c r="DD23" s="52">
        <f t="shared" si="19"/>
        <v>27775.060000000019</v>
      </c>
      <c r="DE23" s="52">
        <f t="shared" si="19"/>
        <v>28513.10000000002</v>
      </c>
      <c r="DF23" s="52">
        <f t="shared" si="19"/>
        <v>28505.200000000019</v>
      </c>
      <c r="DG23" s="52">
        <f t="shared" si="19"/>
        <v>30347.760000000017</v>
      </c>
      <c r="DH23" s="52">
        <f t="shared" si="19"/>
        <v>29083.180000000015</v>
      </c>
      <c r="DI23" s="52">
        <f t="shared" si="19"/>
        <v>30014.160000000014</v>
      </c>
      <c r="DJ23" s="52">
        <f t="shared" si="19"/>
        <v>30668.780000000017</v>
      </c>
      <c r="DK23" s="52">
        <f t="shared" si="19"/>
        <v>30668.780000000017</v>
      </c>
      <c r="DL23" s="52">
        <f t="shared" si="19"/>
        <v>36537.550000000017</v>
      </c>
      <c r="DM23" s="52">
        <f t="shared" si="19"/>
        <v>34412.760000000017</v>
      </c>
      <c r="DN23" s="52">
        <f t="shared" si="19"/>
        <v>35331.970000000016</v>
      </c>
      <c r="DO23" s="52">
        <f t="shared" si="19"/>
        <v>35316.990000000013</v>
      </c>
      <c r="DP23" s="52">
        <f t="shared" si="19"/>
        <v>36055.640000000014</v>
      </c>
      <c r="DQ23" s="52">
        <f t="shared" si="19"/>
        <v>36055.640000000014</v>
      </c>
      <c r="DR23" s="52">
        <f t="shared" si="19"/>
        <v>34342.420000000013</v>
      </c>
      <c r="DS23" s="52">
        <f t="shared" si="19"/>
        <v>34267.330000000016</v>
      </c>
      <c r="DT23" s="52">
        <f t="shared" si="19"/>
        <v>35925.570000000022</v>
      </c>
      <c r="DU23" s="52">
        <f t="shared" si="19"/>
        <v>35894.250000000022</v>
      </c>
      <c r="DV23" s="52">
        <f t="shared" si="19"/>
        <v>36777.690000000024</v>
      </c>
      <c r="DW23" s="52">
        <f t="shared" si="19"/>
        <v>35534.440000000024</v>
      </c>
      <c r="DX23" s="52">
        <f t="shared" si="19"/>
        <v>35485.200000000026</v>
      </c>
      <c r="DY23" s="52">
        <f t="shared" si="19"/>
        <v>36209.990000000027</v>
      </c>
      <c r="DZ23" s="52">
        <f t="shared" si="19"/>
        <v>37624.890000000029</v>
      </c>
      <c r="EA23" s="52">
        <f t="shared" si="19"/>
        <v>38534.780000000028</v>
      </c>
      <c r="EB23" s="52">
        <f t="shared" si="19"/>
        <v>37080.61000000003</v>
      </c>
      <c r="EC23" s="52">
        <f t="shared" ref="EC23:GN23" si="20">EB23+EC19-EC20</f>
        <v>36979.97000000003</v>
      </c>
      <c r="ED23" s="52">
        <f t="shared" si="20"/>
        <v>37713.310000000034</v>
      </c>
      <c r="EE23" s="52">
        <f t="shared" si="20"/>
        <v>37198.230000000032</v>
      </c>
      <c r="EF23" s="52">
        <f t="shared" si="20"/>
        <v>39302.350000000035</v>
      </c>
      <c r="EG23" s="52">
        <f t="shared" si="20"/>
        <v>37787.770000000033</v>
      </c>
      <c r="EH23" s="52">
        <f t="shared" si="20"/>
        <v>37625.430000000029</v>
      </c>
      <c r="EI23" s="52">
        <f t="shared" si="20"/>
        <v>38175.450000000033</v>
      </c>
      <c r="EJ23" s="52">
        <f t="shared" si="20"/>
        <v>38100.22000000003</v>
      </c>
      <c r="EK23" s="52">
        <f t="shared" si="20"/>
        <v>38869.520000000026</v>
      </c>
      <c r="EL23" s="52">
        <f t="shared" si="20"/>
        <v>38015.940000000024</v>
      </c>
      <c r="EM23" s="52">
        <f t="shared" si="20"/>
        <v>37862.080000000024</v>
      </c>
      <c r="EN23" s="52">
        <f t="shared" si="20"/>
        <v>38515.830000000024</v>
      </c>
      <c r="EO23" s="52">
        <f t="shared" si="20"/>
        <v>38451.630000000026</v>
      </c>
      <c r="EP23" s="52">
        <f t="shared" si="20"/>
        <v>39358.320000000029</v>
      </c>
      <c r="EQ23" s="52">
        <f t="shared" si="20"/>
        <v>38593.510000000031</v>
      </c>
      <c r="ER23" s="52">
        <f t="shared" si="20"/>
        <v>38535.050000000032</v>
      </c>
      <c r="ES23" s="52">
        <f t="shared" si="20"/>
        <v>40462.280000000035</v>
      </c>
      <c r="ET23" s="52">
        <f t="shared" si="20"/>
        <v>40462.280000000035</v>
      </c>
      <c r="EU23" s="52">
        <f t="shared" si="20"/>
        <v>41314.100000000035</v>
      </c>
      <c r="EV23" s="52">
        <f t="shared" si="20"/>
        <v>40510.820000000036</v>
      </c>
      <c r="EW23" s="52">
        <f t="shared" si="20"/>
        <v>41611.890000000036</v>
      </c>
      <c r="EX23" s="52">
        <f t="shared" si="20"/>
        <v>42389.120000000039</v>
      </c>
      <c r="EY23" s="52">
        <f t="shared" si="20"/>
        <v>42306.120000000039</v>
      </c>
      <c r="EZ23" s="52">
        <f t="shared" si="20"/>
        <v>43312.77000000004</v>
      </c>
      <c r="FA23" s="52">
        <f t="shared" si="20"/>
        <v>41486.860000000037</v>
      </c>
      <c r="FB23" s="52">
        <f t="shared" si="20"/>
        <v>43437.930000000037</v>
      </c>
      <c r="FC23" s="52">
        <f t="shared" si="20"/>
        <v>43776.820000000043</v>
      </c>
      <c r="FD23" s="52">
        <f t="shared" si="20"/>
        <v>43776.820000000043</v>
      </c>
      <c r="FE23" s="52">
        <f t="shared" si="20"/>
        <v>45047.190000000046</v>
      </c>
      <c r="FF23" s="52">
        <f t="shared" si="20"/>
        <v>42525.150000000045</v>
      </c>
      <c r="FG23" s="52">
        <f t="shared" si="20"/>
        <v>44476.220000000045</v>
      </c>
      <c r="FH23" s="52">
        <f t="shared" si="20"/>
        <v>44476.220000000045</v>
      </c>
      <c r="FI23" s="52">
        <f t="shared" si="20"/>
        <v>45376.610000000044</v>
      </c>
      <c r="FJ23" s="52">
        <f t="shared" si="20"/>
        <v>46523.820000000043</v>
      </c>
      <c r="FK23" s="52">
        <f t="shared" si="20"/>
        <v>45854.280000000042</v>
      </c>
      <c r="FL23" s="52">
        <f t="shared" si="20"/>
        <v>47794.830000000045</v>
      </c>
      <c r="FM23" s="52">
        <f t="shared" si="20"/>
        <v>48652.550000000047</v>
      </c>
      <c r="FN23" s="52">
        <f t="shared" si="20"/>
        <v>48752.550000000047</v>
      </c>
      <c r="FO23" s="52">
        <f t="shared" si="20"/>
        <v>49899.760000000046</v>
      </c>
      <c r="FP23" s="52">
        <f t="shared" si="20"/>
        <v>49200.040000000045</v>
      </c>
      <c r="FQ23" s="52">
        <f t="shared" si="20"/>
        <v>51151.110000000044</v>
      </c>
      <c r="FR23" s="52">
        <f t="shared" si="20"/>
        <v>52051.500000000044</v>
      </c>
      <c r="FS23" s="52">
        <f t="shared" si="20"/>
        <v>51001.500000000044</v>
      </c>
      <c r="FT23" s="52">
        <f t="shared" si="20"/>
        <v>60592.350000000042</v>
      </c>
      <c r="FU23" s="52">
        <f t="shared" si="20"/>
        <v>59544.760000000046</v>
      </c>
      <c r="FV23" s="52">
        <f t="shared" si="20"/>
        <v>61418.720000000045</v>
      </c>
      <c r="FW23" s="52">
        <f t="shared" si="20"/>
        <v>61418.720000000045</v>
      </c>
      <c r="FX23" s="52">
        <f t="shared" si="20"/>
        <v>62114.420000000042</v>
      </c>
      <c r="FY23" s="52">
        <f t="shared" si="20"/>
        <v>62056.770000000048</v>
      </c>
      <c r="FZ23" s="52">
        <f t="shared" si="20"/>
        <v>60219.100000000049</v>
      </c>
      <c r="GA23" s="52">
        <f t="shared" si="20"/>
        <v>61952.270000000048</v>
      </c>
      <c r="GB23" s="52">
        <f t="shared" si="20"/>
        <v>62827.260000000046</v>
      </c>
      <c r="GC23" s="52">
        <f t="shared" si="20"/>
        <v>62784.280000000042</v>
      </c>
      <c r="GD23" s="52">
        <f t="shared" si="20"/>
        <v>63962.800000000039</v>
      </c>
      <c r="GE23" s="52">
        <f t="shared" si="20"/>
        <v>62631.110000000037</v>
      </c>
      <c r="GF23" s="52">
        <f t="shared" si="20"/>
        <v>64582.180000000037</v>
      </c>
      <c r="GG23" s="52">
        <f t="shared" si="20"/>
        <v>64909.040000000037</v>
      </c>
      <c r="GH23" s="52">
        <f t="shared" si="20"/>
        <v>64099.510000000038</v>
      </c>
      <c r="GI23" s="52">
        <f t="shared" si="20"/>
        <v>65278.030000000035</v>
      </c>
      <c r="GJ23" s="52">
        <f t="shared" si="20"/>
        <v>64041.020000000033</v>
      </c>
      <c r="GK23" s="52">
        <f t="shared" si="20"/>
        <v>65780.540000000037</v>
      </c>
      <c r="GL23" s="52">
        <f t="shared" si="20"/>
        <v>66268.140000000043</v>
      </c>
      <c r="GM23" s="52">
        <f t="shared" si="20"/>
        <v>66252.240000000049</v>
      </c>
      <c r="GN23" s="52">
        <f t="shared" si="20"/>
        <v>67505.760000000053</v>
      </c>
      <c r="GO23" s="52">
        <f t="shared" ref="GO23:IZ23" si="21">GN23+GO19-GO20</f>
        <v>67117.310000000056</v>
      </c>
      <c r="GP23" s="52">
        <f t="shared" si="21"/>
        <v>69067.050000000061</v>
      </c>
      <c r="GQ23" s="52">
        <f t="shared" si="21"/>
        <v>69974.910000000062</v>
      </c>
      <c r="GR23" s="52">
        <f t="shared" si="21"/>
        <v>69902.510000000068</v>
      </c>
      <c r="GS23" s="52">
        <f t="shared" si="21"/>
        <v>69902.510000000068</v>
      </c>
      <c r="GT23" s="52">
        <f t="shared" si="21"/>
        <v>71742.990000000063</v>
      </c>
      <c r="GU23" s="52">
        <f t="shared" si="21"/>
        <v>73548.500000000058</v>
      </c>
      <c r="GV23" s="52">
        <f t="shared" si="21"/>
        <v>74475.360000000059</v>
      </c>
      <c r="GW23" s="52">
        <f t="shared" si="21"/>
        <v>74161.970000000059</v>
      </c>
      <c r="GX23" s="52">
        <f t="shared" si="21"/>
        <v>73140.490000000063</v>
      </c>
      <c r="GY23" s="52">
        <f t="shared" si="21"/>
        <v>70409.500000000058</v>
      </c>
      <c r="GZ23" s="52">
        <f t="shared" si="21"/>
        <v>66937.370000000054</v>
      </c>
      <c r="HA23" s="52">
        <f t="shared" si="21"/>
        <v>40136.240000000049</v>
      </c>
      <c r="HB23" s="52">
        <f t="shared" si="21"/>
        <v>25025.30000000005</v>
      </c>
      <c r="HC23" s="52">
        <f t="shared" si="21"/>
        <v>3387.4600000000537</v>
      </c>
      <c r="HD23" s="52">
        <f t="shared" si="21"/>
        <v>2658.6500000000538</v>
      </c>
      <c r="HE23" s="52">
        <f t="shared" si="21"/>
        <v>4589.7300000000541</v>
      </c>
      <c r="HF23" s="52">
        <f t="shared" si="21"/>
        <v>5466.5900000000538</v>
      </c>
      <c r="HG23" s="52">
        <f t="shared" si="21"/>
        <v>2989.7900000000536</v>
      </c>
      <c r="HH23" s="52">
        <f t="shared" si="21"/>
        <v>4168.3100000000541</v>
      </c>
      <c r="HI23" s="52">
        <f t="shared" si="21"/>
        <v>3723.3100000000541</v>
      </c>
      <c r="HJ23" s="52">
        <f t="shared" si="21"/>
        <v>3716.330000000054</v>
      </c>
      <c r="HK23" s="52">
        <f t="shared" si="21"/>
        <v>2006.1900000000542</v>
      </c>
      <c r="HL23" s="52">
        <f t="shared" si="21"/>
        <v>650.80000000005407</v>
      </c>
      <c r="HM23" s="52">
        <f t="shared" si="21"/>
        <v>4442.1300000000538</v>
      </c>
      <c r="HN23" s="52">
        <f t="shared" si="21"/>
        <v>2378.140000000054</v>
      </c>
      <c r="HO23" s="52">
        <f t="shared" si="21"/>
        <v>2486.160000000054</v>
      </c>
      <c r="HP23" s="52">
        <f t="shared" si="21"/>
        <v>24.360000000054242</v>
      </c>
      <c r="HQ23" s="52">
        <f t="shared" si="21"/>
        <v>-93.329999999945755</v>
      </c>
      <c r="HR23" s="52">
        <f t="shared" si="21"/>
        <v>-157.03999999994585</v>
      </c>
      <c r="HS23" s="52">
        <f t="shared" si="21"/>
        <v>-733.45999999994581</v>
      </c>
      <c r="HT23" s="52">
        <f t="shared" si="21"/>
        <v>1564.5300000000541</v>
      </c>
      <c r="HU23" s="52">
        <f t="shared" si="21"/>
        <v>3960.5300000000543</v>
      </c>
      <c r="HV23" s="52">
        <f t="shared" si="21"/>
        <v>3343.4400000000542</v>
      </c>
      <c r="HW23" s="52">
        <f t="shared" si="21"/>
        <v>5489.7900000000536</v>
      </c>
      <c r="HX23" s="52">
        <f t="shared" si="21"/>
        <v>4498.1500000000533</v>
      </c>
      <c r="HY23" s="52">
        <f t="shared" si="21"/>
        <v>6272.8800000000538</v>
      </c>
      <c r="HZ23" s="52">
        <f t="shared" si="21"/>
        <v>8767.890000000054</v>
      </c>
      <c r="IA23" s="52">
        <f t="shared" si="21"/>
        <v>8097.1000000000531</v>
      </c>
      <c r="IB23" s="52">
        <f t="shared" si="21"/>
        <v>25107.540000000052</v>
      </c>
      <c r="IC23" s="52">
        <f t="shared" si="21"/>
        <v>24675.350000000053</v>
      </c>
      <c r="ID23" s="52">
        <f t="shared" si="21"/>
        <v>7955.1900000000533</v>
      </c>
      <c r="IE23" s="52">
        <f t="shared" si="21"/>
        <v>6916.5200000000532</v>
      </c>
      <c r="IF23" s="52">
        <f t="shared" si="21"/>
        <v>8166.6900000000533</v>
      </c>
      <c r="IG23" s="52">
        <f t="shared" si="21"/>
        <v>-4188.8999999999487</v>
      </c>
      <c r="IH23" s="52">
        <f t="shared" si="21"/>
        <v>-4316.2199999999484</v>
      </c>
      <c r="II23" s="52">
        <f t="shared" si="21"/>
        <v>-1308.8999999999485</v>
      </c>
      <c r="IJ23" s="52">
        <f t="shared" si="21"/>
        <v>1341.1800000000515</v>
      </c>
      <c r="IK23" s="52">
        <f t="shared" si="21"/>
        <v>1122.3000000000513</v>
      </c>
      <c r="IL23" s="52">
        <f t="shared" si="21"/>
        <v>2126.2300000000509</v>
      </c>
      <c r="IM23" s="52">
        <f t="shared" si="21"/>
        <v>1107.630000000051</v>
      </c>
      <c r="IN23" s="52">
        <f t="shared" si="21"/>
        <v>2964.900000000051</v>
      </c>
      <c r="IO23" s="52">
        <f t="shared" si="21"/>
        <v>1300.910000000051</v>
      </c>
      <c r="IP23" s="52">
        <f t="shared" si="21"/>
        <v>3772.9900000000507</v>
      </c>
      <c r="IQ23" s="52">
        <f t="shared" si="21"/>
        <v>5429.1400000000513</v>
      </c>
      <c r="IR23" s="52">
        <f t="shared" si="21"/>
        <v>3952.2100000000514</v>
      </c>
      <c r="IS23" s="52">
        <f t="shared" si="21"/>
        <v>2797.1600000000522</v>
      </c>
      <c r="IT23" s="52">
        <f t="shared" si="21"/>
        <v>2122.8300000000522</v>
      </c>
      <c r="IU23" s="52">
        <f t="shared" si="21"/>
        <v>1930.3200000000525</v>
      </c>
      <c r="IV23" s="52">
        <f t="shared" si="21"/>
        <v>630.17000000005237</v>
      </c>
      <c r="IW23" s="52">
        <f t="shared" si="21"/>
        <v>-363.77999999994768</v>
      </c>
      <c r="IX23" s="52">
        <f t="shared" si="21"/>
        <v>-5045.0299999999479</v>
      </c>
      <c r="IY23" s="52">
        <f t="shared" si="21"/>
        <v>-4394.949999999948</v>
      </c>
      <c r="IZ23" s="52">
        <f t="shared" si="21"/>
        <v>-6414.949999999948</v>
      </c>
      <c r="JA23" s="52">
        <f t="shared" ref="JA23:LL23" si="22">IZ23+JA19-JA20</f>
        <v>-6608.5999999999476</v>
      </c>
      <c r="JB23" s="52">
        <f t="shared" si="22"/>
        <v>-9742.3899999999485</v>
      </c>
      <c r="JC23" s="52">
        <f t="shared" si="22"/>
        <v>-7117.2199999999484</v>
      </c>
      <c r="JD23" s="52">
        <f t="shared" si="22"/>
        <v>1319.6500000000508</v>
      </c>
      <c r="JE23" s="52">
        <f t="shared" si="22"/>
        <v>869.43000000005077</v>
      </c>
      <c r="JF23" s="52">
        <f t="shared" si="22"/>
        <v>284.62000000005082</v>
      </c>
      <c r="JG23" s="52">
        <f t="shared" si="22"/>
        <v>-2772.2699999999495</v>
      </c>
      <c r="JH23" s="52">
        <f t="shared" si="22"/>
        <v>3649.2900000000504</v>
      </c>
      <c r="JI23" s="52">
        <f t="shared" si="22"/>
        <v>3300.6100000000506</v>
      </c>
      <c r="JJ23" s="52">
        <f t="shared" si="22"/>
        <v>3157.6100000000506</v>
      </c>
      <c r="JK23" s="52">
        <f t="shared" si="22"/>
        <v>6878.0200000000505</v>
      </c>
      <c r="JL23" s="52">
        <f t="shared" si="22"/>
        <v>3797.1400000000503</v>
      </c>
      <c r="JM23" s="52">
        <f t="shared" si="22"/>
        <v>17994.30000000005</v>
      </c>
      <c r="JN23" s="52">
        <f t="shared" si="22"/>
        <v>14634.31000000005</v>
      </c>
      <c r="JO23" s="52">
        <f t="shared" si="22"/>
        <v>12009.86000000005</v>
      </c>
      <c r="JP23" s="52">
        <f t="shared" si="22"/>
        <v>9215.0000000000491</v>
      </c>
      <c r="JQ23" s="52">
        <f t="shared" si="22"/>
        <v>4887.4700000000494</v>
      </c>
      <c r="JR23" s="52">
        <f t="shared" si="22"/>
        <v>7863.2100000000482</v>
      </c>
      <c r="JS23" s="52">
        <f t="shared" si="22"/>
        <v>4929.740000000048</v>
      </c>
      <c r="JT23" s="52">
        <f t="shared" si="22"/>
        <v>-551.96999999995205</v>
      </c>
      <c r="JU23" s="52">
        <f t="shared" si="22"/>
        <v>-1389.8599999999519</v>
      </c>
      <c r="JV23" s="52">
        <f t="shared" si="22"/>
        <v>-2258.049999999952</v>
      </c>
      <c r="JW23" s="52">
        <f t="shared" si="22"/>
        <v>4338.0300000000479</v>
      </c>
      <c r="JX23" s="52">
        <f t="shared" si="22"/>
        <v>3193.1300000000479</v>
      </c>
      <c r="JY23" s="52">
        <f t="shared" si="22"/>
        <v>2183.6300000000479</v>
      </c>
      <c r="JZ23" s="52">
        <f t="shared" si="22"/>
        <v>1672.1400000000478</v>
      </c>
      <c r="KA23" s="52">
        <f t="shared" si="22"/>
        <v>-344.71999999995228</v>
      </c>
      <c r="KB23" s="52">
        <f t="shared" si="22"/>
        <v>5656.4700000000475</v>
      </c>
      <c r="KC23" s="52">
        <f t="shared" si="22"/>
        <v>5156.4700000000475</v>
      </c>
      <c r="KD23" s="52">
        <f t="shared" si="22"/>
        <v>4156.4700000000475</v>
      </c>
      <c r="KE23" s="52">
        <f t="shared" si="22"/>
        <v>2710.8500000000477</v>
      </c>
      <c r="KF23" s="52">
        <f t="shared" si="22"/>
        <v>1134.0700000000479</v>
      </c>
      <c r="KG23" s="52">
        <f t="shared" si="22"/>
        <v>5867.4800000000478</v>
      </c>
      <c r="KH23" s="52">
        <f t="shared" si="22"/>
        <v>4867.4800000000478</v>
      </c>
      <c r="KI23" s="52">
        <f t="shared" si="22"/>
        <v>3867.4800000000478</v>
      </c>
      <c r="KJ23" s="52">
        <f t="shared" si="22"/>
        <v>3246.4800000000478</v>
      </c>
      <c r="KK23" s="52">
        <f t="shared" si="22"/>
        <v>346.62000000004764</v>
      </c>
      <c r="KL23" s="52">
        <f t="shared" si="22"/>
        <v>5137.1300000000483</v>
      </c>
      <c r="KM23" s="52">
        <f t="shared" si="22"/>
        <v>4997.4700000000485</v>
      </c>
      <c r="KN23" s="52">
        <f t="shared" si="22"/>
        <v>4567.5600000000486</v>
      </c>
      <c r="KO23" s="52">
        <f t="shared" si="22"/>
        <v>4059.8000000000484</v>
      </c>
      <c r="KP23" s="52">
        <f t="shared" si="22"/>
        <v>1539.3200000000479</v>
      </c>
      <c r="KQ23" s="52">
        <f t="shared" si="22"/>
        <v>37134.750000000051</v>
      </c>
      <c r="KR23" s="52">
        <f t="shared" si="22"/>
        <v>33239.270000000048</v>
      </c>
      <c r="KS23" s="52">
        <f t="shared" si="22"/>
        <v>22528.840000000047</v>
      </c>
      <c r="KT23" s="52">
        <f t="shared" si="22"/>
        <v>21428.240000000049</v>
      </c>
      <c r="KU23" s="52">
        <f t="shared" si="22"/>
        <v>19303.240000000049</v>
      </c>
      <c r="KV23" s="52">
        <f t="shared" si="22"/>
        <v>22620.55000000005</v>
      </c>
      <c r="KW23" s="52">
        <f t="shared" si="22"/>
        <v>22029.55000000005</v>
      </c>
      <c r="KX23" s="52">
        <f t="shared" si="22"/>
        <v>21939.650000000049</v>
      </c>
      <c r="KY23" s="52">
        <f t="shared" si="22"/>
        <v>21404.830000000049</v>
      </c>
      <c r="KZ23" s="52">
        <f t="shared" si="22"/>
        <v>20830.340000000047</v>
      </c>
      <c r="LA23" s="52">
        <f t="shared" si="22"/>
        <v>20670.540000000048</v>
      </c>
      <c r="LB23" s="52">
        <f t="shared" si="22"/>
        <v>20488.000000000047</v>
      </c>
      <c r="LC23" s="52">
        <f t="shared" si="22"/>
        <v>19815.950000000048</v>
      </c>
      <c r="LD23" s="52">
        <f t="shared" si="22"/>
        <v>19555.770000000048</v>
      </c>
      <c r="LE23" s="52">
        <f t="shared" si="22"/>
        <v>17838.080000000049</v>
      </c>
      <c r="LF23" s="52">
        <f t="shared" si="22"/>
        <v>21311.350000000049</v>
      </c>
      <c r="LG23" s="52">
        <f t="shared" si="22"/>
        <v>20376.000000000051</v>
      </c>
      <c r="LH23" s="52">
        <f t="shared" si="22"/>
        <v>20077.740000000053</v>
      </c>
      <c r="LI23" s="52">
        <f t="shared" si="22"/>
        <v>19319.730000000054</v>
      </c>
      <c r="LJ23" s="52">
        <f t="shared" si="22"/>
        <v>17960.150000000052</v>
      </c>
      <c r="LK23" s="52">
        <f t="shared" si="22"/>
        <v>22557.710000000054</v>
      </c>
      <c r="LL23" s="52">
        <f t="shared" si="22"/>
        <v>21630.190000000053</v>
      </c>
      <c r="LM23" s="52">
        <f t="shared" ref="LM23:MX23" si="23">LL23+LM19-LM20</f>
        <v>21021.220000000052</v>
      </c>
      <c r="LN23" s="52">
        <f t="shared" si="23"/>
        <v>20702.39000000005</v>
      </c>
      <c r="LO23" s="52">
        <f t="shared" si="23"/>
        <v>18471.98000000005</v>
      </c>
      <c r="LP23" s="52">
        <f t="shared" si="23"/>
        <v>22647.39000000005</v>
      </c>
      <c r="LQ23" s="52">
        <f t="shared" si="23"/>
        <v>22608.69000000005</v>
      </c>
      <c r="LR23" s="52">
        <f t="shared" si="23"/>
        <v>22379.630000000048</v>
      </c>
      <c r="LS23" s="52">
        <f t="shared" si="23"/>
        <v>21963.970000000048</v>
      </c>
      <c r="LT23" s="52">
        <f t="shared" si="23"/>
        <v>19282.680000000048</v>
      </c>
      <c r="LU23" s="52">
        <f t="shared" si="23"/>
        <v>8774.4200000000455</v>
      </c>
      <c r="LV23" s="52">
        <f t="shared" si="23"/>
        <v>7716.440000000046</v>
      </c>
      <c r="LW23" s="52">
        <f t="shared" si="23"/>
        <v>7381.5100000000457</v>
      </c>
      <c r="LX23" s="52">
        <f t="shared" si="23"/>
        <v>7073.1100000000461</v>
      </c>
      <c r="LY23" s="52">
        <f t="shared" si="23"/>
        <v>3535.880000000046</v>
      </c>
      <c r="LZ23" s="52">
        <f t="shared" si="23"/>
        <v>8675.7600000000457</v>
      </c>
      <c r="MA23" s="52">
        <f t="shared" si="23"/>
        <v>7868.4700000000457</v>
      </c>
      <c r="MB23" s="52">
        <f t="shared" si="23"/>
        <v>5799.8300000000454</v>
      </c>
      <c r="MC23" s="52">
        <f t="shared" si="23"/>
        <v>4743.2800000000461</v>
      </c>
      <c r="MD23" s="52">
        <f t="shared" si="23"/>
        <v>2248.3500000000454</v>
      </c>
      <c r="ME23" s="52">
        <f t="shared" si="23"/>
        <v>6932.5800000000463</v>
      </c>
      <c r="MF23" s="52">
        <f t="shared" si="23"/>
        <v>5777.4300000000458</v>
      </c>
      <c r="MG23" s="52">
        <f t="shared" si="23"/>
        <v>5369.3400000000456</v>
      </c>
      <c r="MH23" s="52">
        <f t="shared" si="23"/>
        <v>4535.9300000000458</v>
      </c>
      <c r="MI23" s="52">
        <f t="shared" si="23"/>
        <v>2162.7300000000455</v>
      </c>
      <c r="MJ23" s="52">
        <f t="shared" si="23"/>
        <v>4525.3900000000449</v>
      </c>
      <c r="MK23" s="52">
        <f t="shared" si="23"/>
        <v>4166.5300000000452</v>
      </c>
      <c r="ML23" s="52">
        <f t="shared" si="23"/>
        <v>3991.7100000000451</v>
      </c>
      <c r="MM23" s="52">
        <f t="shared" si="23"/>
        <v>3631.6200000000449</v>
      </c>
      <c r="MN23" s="52">
        <f t="shared" si="23"/>
        <v>1370.0900000000452</v>
      </c>
      <c r="MO23" s="52">
        <f t="shared" si="23"/>
        <v>3304.7900000000454</v>
      </c>
      <c r="MP23" s="52">
        <f t="shared" si="23"/>
        <v>3304.7900000000454</v>
      </c>
      <c r="MQ23" s="52">
        <f t="shared" si="23"/>
        <v>2895.9300000000453</v>
      </c>
      <c r="MR23" s="52">
        <f t="shared" si="23"/>
        <v>2796.0300000000452</v>
      </c>
      <c r="MS23" s="52">
        <f t="shared" si="23"/>
        <v>-704.73999999995476</v>
      </c>
      <c r="MT23" s="52">
        <f t="shared" si="23"/>
        <v>3000.8800000000456</v>
      </c>
      <c r="MU23" s="52">
        <f t="shared" si="23"/>
        <v>3000.8800000000456</v>
      </c>
      <c r="MV23" s="52">
        <f t="shared" si="23"/>
        <v>3000.8800000000456</v>
      </c>
      <c r="MW23" s="52">
        <f t="shared" si="23"/>
        <v>2400.9800000000455</v>
      </c>
      <c r="MX23" s="52">
        <f t="shared" si="23"/>
        <v>522.46000000004528</v>
      </c>
      <c r="MY23" s="2"/>
    </row>
    <row r="24" spans="1:363">
      <c r="DP24" s="40"/>
      <c r="EG24" s="40"/>
      <c r="EY24" s="60"/>
      <c r="EZ24" s="60"/>
      <c r="FA24" s="60"/>
      <c r="FB24" s="60"/>
      <c r="FC24" s="60"/>
      <c r="FD24" s="60"/>
      <c r="FE24" s="60"/>
      <c r="FF24" s="60"/>
      <c r="FG24" s="60"/>
      <c r="HY24" s="2"/>
      <c r="LO24" s="2"/>
    </row>
    <row r="25" spans="1:363">
      <c r="N25" s="40"/>
      <c r="U25" s="40"/>
      <c r="V25" s="40"/>
      <c r="X25" s="40"/>
      <c r="BO25" s="40"/>
      <c r="CQ25" s="2"/>
      <c r="DF25" s="40"/>
      <c r="EB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GZ25" s="2"/>
      <c r="HD25" s="2"/>
      <c r="IC25" s="2"/>
      <c r="IH25" s="2"/>
      <c r="IL25" s="2"/>
      <c r="JB25" s="2"/>
      <c r="JC25" s="2"/>
      <c r="JG25" s="60"/>
      <c r="JH25" s="61"/>
      <c r="JL25" s="2"/>
      <c r="JW25" s="2"/>
      <c r="KV25" s="2"/>
      <c r="LA25" s="62"/>
      <c r="LE25" s="2"/>
      <c r="LK25" s="2"/>
      <c r="LN25" s="63"/>
      <c r="LO25" s="2"/>
      <c r="LP25" s="2"/>
      <c r="LT25" s="2"/>
      <c r="LU25" s="2"/>
      <c r="LY25" s="2"/>
      <c r="LZ25" s="2"/>
      <c r="MD25" s="63"/>
      <c r="MN25" s="2"/>
    </row>
    <row r="26" spans="1:363">
      <c r="M26" s="2"/>
      <c r="W26" s="40"/>
      <c r="Y26" s="40"/>
      <c r="AG26" s="64"/>
      <c r="AJ26" s="2"/>
      <c r="AK26" s="2"/>
      <c r="AL26" s="40"/>
      <c r="AQ26" s="40"/>
      <c r="AV26" s="40"/>
      <c r="BF26" s="65"/>
      <c r="BX26" s="40"/>
      <c r="BY26" s="40"/>
      <c r="CD26" s="40"/>
      <c r="CE26" s="40"/>
      <c r="CF26" s="40"/>
      <c r="CQ26" s="2"/>
      <c r="DF26" s="40"/>
      <c r="DG26" s="40"/>
      <c r="DO26" s="40"/>
      <c r="DS26" s="40"/>
      <c r="ET26" s="1"/>
      <c r="EZ26" s="40"/>
      <c r="FA26" s="40"/>
      <c r="FF26" s="40"/>
      <c r="FJ26" s="66"/>
      <c r="FK26" s="40"/>
      <c r="FU26" s="40"/>
      <c r="GD26" s="40"/>
      <c r="GY26" s="2"/>
      <c r="HD26" s="2"/>
      <c r="HI26" s="2"/>
      <c r="HM26" s="2"/>
      <c r="HN26" s="2"/>
      <c r="HR26" s="2"/>
      <c r="HS26" s="2"/>
      <c r="HW26" s="2"/>
      <c r="HX26" s="2"/>
      <c r="IB26" s="2"/>
      <c r="IC26" s="2"/>
      <c r="IH26" s="2"/>
      <c r="IK26" s="2"/>
      <c r="IM26" s="2"/>
      <c r="IN26" s="67"/>
      <c r="IX26" s="2"/>
      <c r="JB26" s="2"/>
      <c r="JG26" s="60"/>
      <c r="JH26" s="61"/>
      <c r="JL26" s="2"/>
      <c r="JV26" s="2"/>
      <c r="JW26" s="2"/>
      <c r="JZ26" s="2"/>
      <c r="KB26" s="2"/>
      <c r="KG26" s="2"/>
      <c r="KJ26" s="2"/>
      <c r="KK26" s="2"/>
      <c r="KU26" s="2"/>
      <c r="KZ26" s="2"/>
      <c r="LA26" s="65"/>
      <c r="LE26" s="40"/>
      <c r="LN26" s="68"/>
      <c r="LO26" s="2"/>
      <c r="LP26" s="2"/>
      <c r="LT26" s="2"/>
      <c r="LY26" s="2"/>
      <c r="MD26" s="68"/>
      <c r="MG26" s="2"/>
      <c r="MM26" s="2"/>
      <c r="MN26" s="2"/>
      <c r="MS26" s="2"/>
      <c r="MX26" s="2"/>
    </row>
    <row r="27" spans="1:363">
      <c r="H27" s="2"/>
      <c r="M27" s="40"/>
      <c r="O27" s="40"/>
      <c r="W27" s="40"/>
      <c r="X27" s="40"/>
      <c r="Y27" s="40"/>
      <c r="Z27" s="2"/>
      <c r="AA27" s="2"/>
      <c r="AG27" s="2"/>
      <c r="AL27" s="40"/>
      <c r="AQ27" s="40"/>
      <c r="AV27" s="40"/>
      <c r="BA27" s="40"/>
      <c r="BU27" s="40"/>
      <c r="BX27" s="40"/>
      <c r="BY27" s="40"/>
      <c r="CE27" s="40"/>
      <c r="CF27" s="40"/>
      <c r="CO27" s="40"/>
      <c r="CQ27" s="2"/>
      <c r="DE27" s="40"/>
      <c r="DS27" s="40"/>
      <c r="EB27" s="40"/>
      <c r="ET27" s="1"/>
      <c r="EU27" s="40"/>
      <c r="FF27" s="40"/>
      <c r="FJ27" s="66"/>
      <c r="FK27" s="2"/>
      <c r="GT27" s="2"/>
      <c r="HD27" s="2"/>
      <c r="HI27" s="2"/>
      <c r="HM27" s="2"/>
      <c r="HN27" s="2"/>
      <c r="HR27" s="69"/>
      <c r="HS27" s="2"/>
      <c r="HT27" s="2"/>
      <c r="HW27" s="2"/>
      <c r="HX27" s="2"/>
      <c r="IB27" s="2"/>
      <c r="IG27" s="2"/>
      <c r="IH27" s="2"/>
      <c r="IJ27" s="67"/>
      <c r="IL27" s="2"/>
      <c r="IM27" s="2"/>
      <c r="IN27" s="2"/>
      <c r="IR27" s="2"/>
      <c r="IV27" s="2"/>
      <c r="IW27" s="2"/>
      <c r="IX27" s="2"/>
      <c r="JG27" s="60"/>
      <c r="JH27" s="61"/>
      <c r="JM27" s="2"/>
      <c r="JN27" s="2"/>
      <c r="JQ27" s="2"/>
      <c r="JV27" s="2"/>
      <c r="JW27" s="2"/>
      <c r="JZ27" s="2"/>
      <c r="KA27" s="2"/>
      <c r="KB27" s="2"/>
      <c r="KK27" s="2"/>
      <c r="KZ27" s="2"/>
      <c r="LA27" s="65"/>
      <c r="LE27" s="2"/>
      <c r="LJ27" s="40"/>
      <c r="LN27" s="63"/>
      <c r="LO27" s="2"/>
      <c r="LT27" s="2"/>
      <c r="LU27" s="2"/>
      <c r="LY27" s="2"/>
      <c r="MD27" s="63"/>
      <c r="MS27" s="2"/>
    </row>
    <row r="28" spans="1:363">
      <c r="D28" s="70"/>
      <c r="H28" s="71" t="s">
        <v>85</v>
      </c>
      <c r="K28" s="40"/>
      <c r="L28" s="40"/>
      <c r="P28" s="40"/>
      <c r="Q28" s="40"/>
      <c r="R28" s="40"/>
      <c r="W28" s="40"/>
      <c r="X28" s="40"/>
      <c r="Z28" s="40"/>
      <c r="AA28" s="40"/>
      <c r="AG28" s="40"/>
      <c r="AL28" s="2"/>
      <c r="AT28" s="40"/>
      <c r="AU28" s="40"/>
      <c r="AV28" s="40"/>
      <c r="BA28" s="40"/>
      <c r="BF28" s="40"/>
      <c r="BX28" s="40"/>
      <c r="BY28" s="40"/>
      <c r="CE28" s="40"/>
      <c r="CF28" s="40"/>
      <c r="CQ28" s="40"/>
      <c r="DE28" s="40"/>
      <c r="DF28" s="40"/>
      <c r="DO28" s="40"/>
      <c r="DQ28" s="40"/>
      <c r="DS28" s="40"/>
      <c r="DW28" s="40"/>
      <c r="EC28" s="40"/>
      <c r="FK28" s="40"/>
      <c r="GY28" s="2"/>
      <c r="HD28" s="2"/>
      <c r="HS28" s="2"/>
      <c r="HX28" s="2"/>
      <c r="HY28" s="2"/>
      <c r="IB28" s="2"/>
      <c r="IK28" s="72"/>
      <c r="IM28" s="2"/>
      <c r="IW28" s="2"/>
      <c r="JB28" s="2"/>
      <c r="JG28" s="60"/>
      <c r="JH28" s="61"/>
      <c r="JR28" s="2"/>
      <c r="LA28" s="65"/>
      <c r="LE28" s="2"/>
      <c r="LO28" s="70"/>
      <c r="LY28" s="73"/>
      <c r="MD28" s="63"/>
      <c r="MH28" s="2"/>
      <c r="MI28" s="2"/>
      <c r="ML28" s="2"/>
    </row>
    <row r="29" spans="1:363">
      <c r="H29" s="40"/>
      <c r="M29" s="40"/>
      <c r="P29" s="40"/>
      <c r="Q29" s="40"/>
      <c r="Y29" s="2"/>
      <c r="BN29" s="40"/>
      <c r="BO29" s="40"/>
      <c r="BP29" s="40"/>
      <c r="CE29" s="40"/>
      <c r="CF29" s="40"/>
      <c r="CG29" s="40"/>
      <c r="CQ29" s="40"/>
      <c r="DG29" s="40"/>
      <c r="DR29" s="40"/>
      <c r="DW29" s="40"/>
      <c r="EP29" s="40"/>
      <c r="FK29" s="40"/>
      <c r="FM29" s="40"/>
      <c r="HD29" s="2"/>
      <c r="HN29" s="2"/>
      <c r="JG29" s="60"/>
      <c r="JH29" s="61"/>
      <c r="LO29" s="74"/>
      <c r="MM29" s="2"/>
      <c r="MN29" s="2"/>
    </row>
    <row r="30" spans="1:363">
      <c r="F30" s="49"/>
      <c r="G30" s="49"/>
      <c r="W30" s="40"/>
      <c r="X30" s="40"/>
      <c r="BF30" s="40"/>
      <c r="BU30" s="40"/>
      <c r="BW30" s="40"/>
      <c r="BX30" s="40"/>
      <c r="BY30" s="40"/>
      <c r="CE30" s="40"/>
      <c r="CF30" s="40"/>
      <c r="CQ30" s="40"/>
      <c r="DE30" s="40"/>
      <c r="DG30" s="2"/>
      <c r="DO30" s="40"/>
      <c r="EC30" s="40"/>
      <c r="EY30" s="40"/>
      <c r="EZ30" s="40"/>
      <c r="FA30" s="40"/>
      <c r="FB30" s="40"/>
      <c r="FC30" s="40"/>
      <c r="FD30" s="40"/>
      <c r="FE30" s="40"/>
      <c r="FF30" s="40"/>
      <c r="FG30" s="40"/>
      <c r="HE30" s="2"/>
      <c r="HX30" s="2"/>
      <c r="HY30" s="2"/>
      <c r="LK30" s="75"/>
      <c r="LO30" s="74"/>
    </row>
    <row r="31" spans="1:363" ht="15">
      <c r="F31" s="49"/>
      <c r="G31" s="49"/>
      <c r="W31" s="40"/>
      <c r="X31" s="40"/>
      <c r="BF31" s="40"/>
      <c r="BU31" s="40"/>
      <c r="BW31" s="40"/>
      <c r="BX31" s="40"/>
      <c r="BY31" s="40"/>
      <c r="CE31" s="40"/>
      <c r="CF31" s="40"/>
      <c r="CQ31" s="40"/>
      <c r="DE31" s="40"/>
      <c r="DG31" s="2"/>
      <c r="DO31" s="40"/>
      <c r="EC31" s="40"/>
      <c r="EY31" s="40"/>
      <c r="EZ31" s="40"/>
      <c r="FA31" s="40"/>
      <c r="FB31" s="40"/>
      <c r="FC31" s="40"/>
      <c r="FD31" s="40"/>
      <c r="FE31" s="40"/>
      <c r="FF31" s="40"/>
      <c r="FG31" s="40"/>
      <c r="HE31" s="2"/>
      <c r="HX31" s="2"/>
      <c r="HY31" s="2"/>
      <c r="LK31" s="75"/>
      <c r="LO31" s="74"/>
      <c r="MP31" s="3"/>
      <c r="MQ31" s="76"/>
    </row>
    <row r="32" spans="1:363">
      <c r="W32" s="40"/>
      <c r="BF32" s="40"/>
      <c r="BI32" s="40"/>
      <c r="BJ32" s="40"/>
      <c r="BM32" s="40"/>
      <c r="BU32" s="40"/>
      <c r="CQ32" s="40"/>
      <c r="DG32" s="40"/>
      <c r="DO32" s="40"/>
      <c r="DT32" s="77"/>
      <c r="JG32" s="2"/>
      <c r="JR32" s="70"/>
      <c r="KT32" s="1"/>
      <c r="LK32" s="75"/>
      <c r="MP32" s="2"/>
      <c r="MQ32" s="2"/>
      <c r="MR32" s="2"/>
      <c r="MS32" s="2"/>
      <c r="MT32" s="2"/>
      <c r="MU32" s="2"/>
      <c r="MV32" s="2"/>
      <c r="MW32" s="2"/>
      <c r="MX32" s="2"/>
      <c r="MY32" s="2"/>
    </row>
    <row r="33" spans="23:363">
      <c r="BC33" s="40"/>
      <c r="BD33" s="40"/>
      <c r="BE33" s="40"/>
      <c r="BF33" s="40"/>
      <c r="CQ33" s="40"/>
      <c r="DG33" s="40"/>
      <c r="DO33" s="1"/>
      <c r="DT33" s="67"/>
      <c r="KT33" s="1"/>
      <c r="KU33" s="78"/>
      <c r="LK33" s="75"/>
      <c r="LQ33" s="60"/>
      <c r="LR33" s="63"/>
      <c r="LV33" s="61"/>
    </row>
    <row r="34" spans="23:363">
      <c r="BB34" s="40"/>
      <c r="BC34" s="72"/>
      <c r="BD34" s="66"/>
      <c r="BE34" s="66"/>
      <c r="DG34" s="2"/>
      <c r="DO34" s="1"/>
      <c r="GH34" s="2"/>
      <c r="IE34" s="70"/>
      <c r="KT34" s="1"/>
      <c r="LK34" s="75"/>
      <c r="LQ34" s="60"/>
      <c r="LR34" s="63"/>
      <c r="LV34" s="61"/>
      <c r="MP34" s="2"/>
      <c r="MQ34" s="63"/>
      <c r="MR34" s="63"/>
      <c r="MS34" s="63"/>
      <c r="MT34" s="63"/>
      <c r="MU34" s="63"/>
      <c r="MV34" s="63"/>
      <c r="MW34" s="63"/>
      <c r="MX34" s="63"/>
      <c r="MY34" s="63"/>
    </row>
    <row r="35" spans="23:363">
      <c r="BC35" s="40"/>
      <c r="BD35" s="40"/>
      <c r="BE35" s="40"/>
      <c r="DS35" s="40"/>
      <c r="IN35" s="70"/>
      <c r="IO35" s="70"/>
      <c r="IP35" s="70"/>
      <c r="IQ35" s="70"/>
      <c r="IR35" s="70"/>
      <c r="KT35" s="1"/>
      <c r="LK35" s="75"/>
      <c r="LQ35" s="60"/>
      <c r="LR35" s="63"/>
      <c r="LV35" s="61"/>
    </row>
    <row r="36" spans="23:363">
      <c r="W36" s="40"/>
      <c r="BC36" s="40"/>
      <c r="BF36" s="66"/>
      <c r="DS36" s="2"/>
      <c r="IN36" s="70"/>
      <c r="IO36" s="70"/>
      <c r="IP36" s="70"/>
      <c r="IQ36" s="70"/>
      <c r="IR36" s="70"/>
      <c r="LK36" s="75"/>
      <c r="LQ36" s="60"/>
      <c r="LR36" s="63"/>
      <c r="LY36" s="73"/>
      <c r="MP36" s="2"/>
      <c r="MQ36" s="49"/>
      <c r="MR36" s="49"/>
      <c r="MS36" s="49"/>
      <c r="MT36" s="49"/>
      <c r="MU36" s="49"/>
      <c r="MV36" s="49"/>
      <c r="MW36" s="49"/>
      <c r="MX36" s="49"/>
      <c r="MY36" s="49"/>
    </row>
    <row r="37" spans="23:363">
      <c r="BC37" s="40"/>
      <c r="BF37" s="40"/>
      <c r="CG37" s="40"/>
      <c r="EX37" s="40"/>
      <c r="LK37" s="79"/>
      <c r="LQ37" s="60"/>
      <c r="LR37" s="63"/>
    </row>
    <row r="38" spans="23:363">
      <c r="BD38" s="40"/>
      <c r="BE38" s="40"/>
      <c r="DQ38" s="80"/>
      <c r="LK38" s="79"/>
      <c r="LQ38" s="60"/>
      <c r="LR38" s="63"/>
    </row>
    <row r="39" spans="23:363">
      <c r="KN39" s="2"/>
      <c r="LK39" s="79"/>
      <c r="LQ39" s="60"/>
      <c r="LR39" s="63"/>
      <c r="LY39" s="81"/>
    </row>
    <row r="40" spans="23:363">
      <c r="LQ40" s="60"/>
      <c r="LR40" s="63"/>
    </row>
    <row r="41" spans="23:363">
      <c r="BC41" s="72"/>
      <c r="BQ41" s="40"/>
      <c r="BR41" s="40"/>
      <c r="KN41" s="66"/>
      <c r="LQ41" s="60"/>
      <c r="LR41" s="63"/>
    </row>
    <row r="42" spans="23:363">
      <c r="BC42" s="72"/>
      <c r="KN42" s="61"/>
      <c r="LQ42" s="60"/>
      <c r="LR42" s="63"/>
    </row>
    <row r="43" spans="23:363">
      <c r="BC43" s="72"/>
      <c r="KN43" s="61"/>
      <c r="LQ43" s="60"/>
      <c r="LR43" s="63"/>
    </row>
    <row r="44" spans="23:363">
      <c r="BC44" s="72"/>
      <c r="LQ44" s="60"/>
      <c r="LR44" s="63"/>
    </row>
    <row r="45" spans="23:363">
      <c r="BC45" s="72"/>
      <c r="LQ45" s="60"/>
      <c r="LR45" s="63"/>
    </row>
    <row r="46" spans="23:363">
      <c r="DS46" s="40"/>
      <c r="LQ46" s="60"/>
      <c r="LR46" s="63"/>
    </row>
    <row r="47" spans="23:363">
      <c r="DS47" s="70"/>
      <c r="LQ47" s="60"/>
      <c r="LR47" s="63"/>
    </row>
    <row r="48" spans="23:363">
      <c r="BC48" s="40"/>
      <c r="LQ48" s="60"/>
      <c r="LR48" s="63"/>
    </row>
    <row r="49" spans="61:330">
      <c r="LQ49" s="60"/>
      <c r="LR49" s="63"/>
    </row>
    <row r="50" spans="61:330">
      <c r="LQ50" s="60"/>
      <c r="LR50" s="63"/>
    </row>
    <row r="53" spans="61:330">
      <c r="BI53" s="40"/>
      <c r="BJ53" s="40"/>
    </row>
    <row r="71" spans="114:117">
      <c r="DM71" s="70"/>
    </row>
    <row r="80" spans="114:117">
      <c r="DJ80" s="40"/>
    </row>
  </sheetData>
  <mergeCells count="76">
    <mergeCell ref="BF1:BJ1"/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  <mergeCell ref="BA1:BE1"/>
    <mergeCell ref="DN1:DR1"/>
    <mergeCell ref="BK1:BO1"/>
    <mergeCell ref="BP1:BT1"/>
    <mergeCell ref="BU1:BY1"/>
    <mergeCell ref="BZ1:CD1"/>
    <mergeCell ref="CE1:CI1"/>
    <mergeCell ref="CJ1:CN1"/>
    <mergeCell ref="CO1:CS1"/>
    <mergeCell ref="CT1:CX1"/>
    <mergeCell ref="CY1:DC1"/>
    <mergeCell ref="DD1:DH1"/>
    <mergeCell ref="DI1:DM1"/>
    <mergeCell ref="FV1:FZ1"/>
    <mergeCell ref="DS1:DW1"/>
    <mergeCell ref="DX1:EB1"/>
    <mergeCell ref="EC1:EG1"/>
    <mergeCell ref="EH1:EL1"/>
    <mergeCell ref="EM1:EQ1"/>
    <mergeCell ref="ER1:EV1"/>
    <mergeCell ref="EW1:FA1"/>
    <mergeCell ref="FB1:FF1"/>
    <mergeCell ref="FG1:FK1"/>
    <mergeCell ref="FL1:FP1"/>
    <mergeCell ref="FQ1:FU1"/>
    <mergeCell ref="ID1:IH1"/>
    <mergeCell ref="GA1:GE1"/>
    <mergeCell ref="GF1:GJ1"/>
    <mergeCell ref="GK1:GO1"/>
    <mergeCell ref="GP1:GT1"/>
    <mergeCell ref="GU1:GY1"/>
    <mergeCell ref="GZ1:HD1"/>
    <mergeCell ref="HE1:HI1"/>
    <mergeCell ref="HJ1:HN1"/>
    <mergeCell ref="HO1:HS1"/>
    <mergeCell ref="HT1:HX1"/>
    <mergeCell ref="HY1:IC1"/>
    <mergeCell ref="KL1:KP1"/>
    <mergeCell ref="II1:IM1"/>
    <mergeCell ref="IN1:IR1"/>
    <mergeCell ref="IS1:IW1"/>
    <mergeCell ref="IX1:JB1"/>
    <mergeCell ref="JC1:JG1"/>
    <mergeCell ref="JH1:JL1"/>
    <mergeCell ref="LZ1:MD1"/>
    <mergeCell ref="ME1:MI1"/>
    <mergeCell ref="MJ1:MN1"/>
    <mergeCell ref="MO1:MS1"/>
    <mergeCell ref="MT1:MX1"/>
    <mergeCell ref="A3:A4"/>
    <mergeCell ref="A6:A16"/>
    <mergeCell ref="A19:A20"/>
    <mergeCell ref="A22:A23"/>
    <mergeCell ref="LU1:LY1"/>
    <mergeCell ref="KQ1:KU1"/>
    <mergeCell ref="KV1:KZ1"/>
    <mergeCell ref="LA1:LE1"/>
    <mergeCell ref="LF1:LJ1"/>
    <mergeCell ref="LK1:LO1"/>
    <mergeCell ref="LP1:LT1"/>
    <mergeCell ref="JM1:JQ1"/>
    <mergeCell ref="JR1:JV1"/>
    <mergeCell ref="JW1:KA1"/>
    <mergeCell ref="KB1:KF1"/>
    <mergeCell ref="KG1:K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8766-09AA-41B3-A41F-C1E1EEDE92D3}">
  <sheetPr>
    <tabColor rgb="FF002060"/>
  </sheetPr>
  <dimension ref="B2:V78"/>
  <sheetViews>
    <sheetView showGridLines="0" workbookViewId="0">
      <selection activeCell="H12" sqref="H12"/>
    </sheetView>
  </sheetViews>
  <sheetFormatPr defaultRowHeight="14.25"/>
  <cols>
    <col min="1" max="1" width="2" customWidth="1"/>
    <col min="3" max="3" width="8.875" customWidth="1"/>
    <col min="5" max="5" width="11.875" bestFit="1" customWidth="1"/>
    <col min="7" max="11" width="11.5" bestFit="1" customWidth="1"/>
    <col min="12" max="13" width="12.5" bestFit="1" customWidth="1"/>
  </cols>
  <sheetData>
    <row r="2" spans="2:22">
      <c r="C2" s="100" t="s">
        <v>99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2:22"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</row>
    <row r="5" spans="2:22">
      <c r="C5" t="s">
        <v>100</v>
      </c>
    </row>
    <row r="7" spans="2:22">
      <c r="B7">
        <v>0</v>
      </c>
      <c r="C7" s="118">
        <v>2018</v>
      </c>
      <c r="D7" s="5" t="s">
        <v>101</v>
      </c>
      <c r="E7" s="82">
        <f ca="1">SUM(OFFSET('Controle Financeiro'!$C$20:$G$20,0,5*B7))</f>
        <v>1266.9499999999998</v>
      </c>
      <c r="G7" s="2"/>
      <c r="H7" s="2"/>
      <c r="I7" s="2"/>
      <c r="J7" s="2"/>
      <c r="K7" s="2"/>
      <c r="L7" s="2"/>
      <c r="M7" s="2"/>
    </row>
    <row r="8" spans="2:22">
      <c r="B8">
        <v>1</v>
      </c>
      <c r="C8" s="118"/>
      <c r="D8" s="5" t="s">
        <v>102</v>
      </c>
      <c r="E8" s="82">
        <f ca="1">SUM(OFFSET('Controle Financeiro'!$C$20:$G$20,0,5*B8))</f>
        <v>3230.5</v>
      </c>
    </row>
    <row r="9" spans="2:22">
      <c r="B9">
        <v>2</v>
      </c>
      <c r="C9" s="118"/>
      <c r="D9" s="5" t="s">
        <v>103</v>
      </c>
      <c r="E9" s="82">
        <f ca="1">SUM(OFFSET('Controle Financeiro'!$C$20:$G$20,0,5*B9))</f>
        <v>1082.54</v>
      </c>
    </row>
    <row r="10" spans="2:22">
      <c r="B10">
        <v>3</v>
      </c>
      <c r="C10" s="118"/>
      <c r="D10" s="5" t="s">
        <v>104</v>
      </c>
      <c r="E10" s="82">
        <f ca="1">SUM(OFFSET('Controle Financeiro'!$C$20:$G$20,0,5*B10))</f>
        <v>792.31</v>
      </c>
    </row>
    <row r="11" spans="2:22">
      <c r="B11">
        <v>4</v>
      </c>
      <c r="C11" s="118"/>
      <c r="D11" s="5" t="s">
        <v>105</v>
      </c>
      <c r="E11" s="82">
        <f ca="1">SUM(OFFSET('Controle Financeiro'!$C$20:$G$20,0,5*B11))</f>
        <v>865.91</v>
      </c>
    </row>
    <row r="12" spans="2:22">
      <c r="B12">
        <v>5</v>
      </c>
      <c r="C12" s="118"/>
      <c r="D12" s="5" t="s">
        <v>106</v>
      </c>
      <c r="E12" s="82">
        <f ca="1">SUM(OFFSET('Controle Financeiro'!$C$20:$G$20,0,5*B12))</f>
        <v>903.61</v>
      </c>
    </row>
    <row r="13" spans="2:22">
      <c r="B13">
        <v>6</v>
      </c>
      <c r="C13" s="118"/>
      <c r="D13" s="5" t="s">
        <v>107</v>
      </c>
      <c r="E13" s="82">
        <f ca="1">SUM(OFFSET('Controle Financeiro'!$C$20:$G$20,0,5*B13))</f>
        <v>955.83999999999992</v>
      </c>
    </row>
    <row r="14" spans="2:22">
      <c r="B14">
        <v>7</v>
      </c>
      <c r="C14" s="118"/>
      <c r="D14" s="5" t="s">
        <v>108</v>
      </c>
      <c r="E14" s="82">
        <f ca="1">SUM(OFFSET('Controle Financeiro'!$C$20:$G$20,0,5*B14))</f>
        <v>2595.9900000000002</v>
      </c>
    </row>
    <row r="15" spans="2:22">
      <c r="B15">
        <v>8</v>
      </c>
      <c r="C15" s="118"/>
      <c r="D15" s="5" t="s">
        <v>109</v>
      </c>
      <c r="E15" s="82">
        <f ca="1">SUM(OFFSET('Controle Financeiro'!$C$20:$G$20,0,5*B15))</f>
        <v>1038.8899999999999</v>
      </c>
    </row>
    <row r="16" spans="2:22">
      <c r="B16">
        <v>9</v>
      </c>
      <c r="C16" s="118"/>
      <c r="D16" s="5" t="s">
        <v>110</v>
      </c>
      <c r="E16" s="82">
        <f ca="1">SUM(OFFSET('Controle Financeiro'!$C$20:$G$20,0,5*B16))</f>
        <v>1241.1400000000001</v>
      </c>
    </row>
    <row r="17" spans="2:5">
      <c r="B17">
        <v>10</v>
      </c>
      <c r="C17" s="118"/>
      <c r="D17" s="5" t="s">
        <v>111</v>
      </c>
      <c r="E17" s="82">
        <f ca="1">SUM(OFFSET('Controle Financeiro'!$C$20:$G$20,0,5*B17))</f>
        <v>927.94</v>
      </c>
    </row>
    <row r="18" spans="2:5">
      <c r="B18">
        <v>11</v>
      </c>
      <c r="C18" s="118"/>
      <c r="D18" s="5" t="s">
        <v>112</v>
      </c>
      <c r="E18" s="82">
        <f ca="1">SUM(OFFSET('Controle Financeiro'!$C$20:$G$20,0,5*B18))</f>
        <v>1690.3400000000001</v>
      </c>
    </row>
    <row r="19" spans="2:5">
      <c r="B19">
        <v>12</v>
      </c>
      <c r="C19" s="118">
        <v>2019</v>
      </c>
      <c r="D19" s="5" t="s">
        <v>101</v>
      </c>
      <c r="E19" s="82">
        <f ca="1">SUM(OFFSET('Controle Financeiro'!$C$20:$G$20,0,5*B19))</f>
        <v>3629.5</v>
      </c>
    </row>
    <row r="20" spans="2:5">
      <c r="B20">
        <v>13</v>
      </c>
      <c r="C20" s="118"/>
      <c r="D20" s="5" t="s">
        <v>102</v>
      </c>
      <c r="E20" s="82">
        <f ca="1">SUM(OFFSET('Controle Financeiro'!$C$20:$G$20,0,5*B20))</f>
        <v>1013.25</v>
      </c>
    </row>
    <row r="21" spans="2:5">
      <c r="B21">
        <v>14</v>
      </c>
      <c r="C21" s="118"/>
      <c r="D21" s="5" t="s">
        <v>103</v>
      </c>
      <c r="E21" s="82">
        <f ca="1">SUM(OFFSET('Controle Financeiro'!$C$20:$G$20,0,5*B21))</f>
        <v>1234.8699999999999</v>
      </c>
    </row>
    <row r="22" spans="2:5">
      <c r="B22">
        <v>15</v>
      </c>
      <c r="C22" s="118"/>
      <c r="D22" s="5" t="s">
        <v>104</v>
      </c>
      <c r="E22" s="82">
        <f ca="1">SUM(OFFSET('Controle Financeiro'!$C$20:$G$20,0,5*B22))</f>
        <v>877.05</v>
      </c>
    </row>
    <row r="23" spans="2:5">
      <c r="B23">
        <v>16</v>
      </c>
      <c r="C23" s="118"/>
      <c r="D23" s="5" t="s">
        <v>105</v>
      </c>
      <c r="E23" s="82">
        <f ca="1">SUM(OFFSET('Controle Financeiro'!$C$20:$G$20,0,5*B23))</f>
        <v>1230.6500000000001</v>
      </c>
    </row>
    <row r="24" spans="2:5">
      <c r="B24">
        <v>17</v>
      </c>
      <c r="C24" s="118"/>
      <c r="D24" s="5" t="s">
        <v>106</v>
      </c>
      <c r="E24" s="82">
        <f ca="1">SUM(OFFSET('Controle Financeiro'!$C$20:$G$20,0,5*B24))</f>
        <v>1042.0099999999998</v>
      </c>
    </row>
    <row r="25" spans="2:5">
      <c r="B25">
        <v>18</v>
      </c>
      <c r="C25" s="118"/>
      <c r="D25" s="5" t="s">
        <v>107</v>
      </c>
      <c r="E25" s="82">
        <f ca="1">SUM(OFFSET('Controle Financeiro'!$C$20:$G$20,0,5*B25))</f>
        <v>2361.3200000000002</v>
      </c>
    </row>
    <row r="26" spans="2:5">
      <c r="B26">
        <v>19</v>
      </c>
      <c r="C26" s="118"/>
      <c r="D26" s="5" t="s">
        <v>108</v>
      </c>
      <c r="E26" s="82">
        <f ca="1">SUM(OFFSET('Controle Financeiro'!$C$20:$G$20,0,5*B26))</f>
        <v>1069.57</v>
      </c>
    </row>
    <row r="27" spans="2:5">
      <c r="B27">
        <v>20</v>
      </c>
      <c r="C27" s="118"/>
      <c r="D27" s="5" t="s">
        <v>109</v>
      </c>
      <c r="E27" s="82">
        <f ca="1">SUM(OFFSET('Controle Financeiro'!$C$20:$G$20,0,5*B27))</f>
        <v>2019.1200000000001</v>
      </c>
    </row>
    <row r="28" spans="2:5">
      <c r="B28">
        <v>21</v>
      </c>
      <c r="C28" s="118"/>
      <c r="D28" s="5" t="s">
        <v>110</v>
      </c>
      <c r="E28" s="82">
        <f ca="1">SUM(OFFSET('Controle Financeiro'!$C$20:$G$20,0,5*B28))</f>
        <v>1448.37</v>
      </c>
    </row>
    <row r="29" spans="2:5">
      <c r="B29">
        <v>22</v>
      </c>
      <c r="C29" s="118"/>
      <c r="D29" s="5" t="s">
        <v>111</v>
      </c>
      <c r="E29" s="82">
        <f ca="1">SUM(OFFSET('Controle Financeiro'!$C$20:$G$20,0,5*B29))</f>
        <v>2295.73</v>
      </c>
    </row>
    <row r="30" spans="2:5">
      <c r="B30">
        <v>23</v>
      </c>
      <c r="C30" s="118"/>
      <c r="D30" s="5" t="s">
        <v>112</v>
      </c>
      <c r="E30" s="82">
        <f ca="1">SUM(OFFSET('Controle Financeiro'!$C$20:$G$20,0,5*B30))</f>
        <v>1866.9900000000002</v>
      </c>
    </row>
    <row r="31" spans="2:5">
      <c r="B31">
        <v>24</v>
      </c>
      <c r="C31" s="118">
        <v>2020</v>
      </c>
      <c r="D31" s="5" t="s">
        <v>101</v>
      </c>
      <c r="E31" s="82">
        <f ca="1">SUM(OFFSET('Controle Financeiro'!$C$20:$G$20,0,5*B31))</f>
        <v>1494.57</v>
      </c>
    </row>
    <row r="32" spans="2:5">
      <c r="B32">
        <v>25</v>
      </c>
      <c r="C32" s="118"/>
      <c r="D32" s="5" t="s">
        <v>102</v>
      </c>
      <c r="E32" s="82">
        <f ca="1">SUM(OFFSET('Controle Financeiro'!$C$20:$G$20,0,5*B32))</f>
        <v>1648.19</v>
      </c>
    </row>
    <row r="33" spans="2:5">
      <c r="B33">
        <v>26</v>
      </c>
      <c r="C33" s="118"/>
      <c r="D33" s="5" t="s">
        <v>103</v>
      </c>
      <c r="E33" s="82">
        <f ca="1">SUM(OFFSET('Controle Financeiro'!$C$20:$G$20,0,5*B33))</f>
        <v>2450.11</v>
      </c>
    </row>
    <row r="34" spans="2:5">
      <c r="B34">
        <v>27</v>
      </c>
      <c r="C34" s="118"/>
      <c r="D34" s="5" t="s">
        <v>104</v>
      </c>
      <c r="E34" s="82">
        <f ca="1">SUM(OFFSET('Controle Financeiro'!$C$20:$G$20,0,5*B34))</f>
        <v>1656.34</v>
      </c>
    </row>
    <row r="35" spans="2:5">
      <c r="B35">
        <v>28</v>
      </c>
      <c r="C35" s="118"/>
      <c r="D35" s="5" t="s">
        <v>105</v>
      </c>
      <c r="E35" s="82">
        <f ca="1">SUM(OFFSET('Controle Financeiro'!$C$20:$G$20,0,5*B35))</f>
        <v>1206.31</v>
      </c>
    </row>
    <row r="36" spans="2:5">
      <c r="B36">
        <v>29</v>
      </c>
      <c r="C36" s="118"/>
      <c r="D36" s="5" t="s">
        <v>106</v>
      </c>
      <c r="E36" s="82">
        <f ca="1">SUM(OFFSET('Controle Financeiro'!$C$20:$G$20,0,5*B36))</f>
        <v>1016.5699999999999</v>
      </c>
    </row>
    <row r="37" spans="2:5">
      <c r="B37">
        <v>30</v>
      </c>
      <c r="C37" s="118"/>
      <c r="D37" s="5" t="s">
        <v>107</v>
      </c>
      <c r="E37" s="82">
        <f ca="1">SUM(OFFSET('Controle Financeiro'!$C$20:$G$20,0,5*B37))</f>
        <v>1957.8400000000004</v>
      </c>
    </row>
    <row r="38" spans="2:5">
      <c r="B38">
        <v>31</v>
      </c>
      <c r="C38" s="118"/>
      <c r="D38" s="5" t="s">
        <v>108</v>
      </c>
      <c r="E38" s="82">
        <f ca="1">SUM(OFFSET('Controle Financeiro'!$C$20:$G$20,0,5*B38))</f>
        <v>3009.31</v>
      </c>
    </row>
    <row r="39" spans="2:5">
      <c r="B39">
        <v>32</v>
      </c>
      <c r="C39" s="118"/>
      <c r="D39" s="5" t="s">
        <v>109</v>
      </c>
      <c r="E39" s="82">
        <f ca="1">SUM(OFFSET('Controle Financeiro'!$C$20:$G$20,0,5*B39))</f>
        <v>718.46999999999991</v>
      </c>
    </row>
    <row r="40" spans="2:5">
      <c r="B40">
        <v>33</v>
      </c>
      <c r="C40" s="118"/>
      <c r="D40" s="5" t="s">
        <v>110</v>
      </c>
      <c r="E40" s="82">
        <f ca="1">SUM(OFFSET('Controle Financeiro'!$C$20:$G$20,0,5*B40))</f>
        <v>801.84</v>
      </c>
    </row>
    <row r="41" spans="2:5">
      <c r="B41">
        <v>34</v>
      </c>
      <c r="C41" s="118"/>
      <c r="D41" s="5" t="s">
        <v>111</v>
      </c>
      <c r="E41" s="82">
        <f ca="1">SUM(OFFSET('Controle Financeiro'!$C$20:$G$20,0,5*B41))</f>
        <v>2246.52</v>
      </c>
    </row>
    <row r="42" spans="2:5">
      <c r="B42">
        <v>35</v>
      </c>
      <c r="C42" s="118"/>
      <c r="D42" s="5" t="s">
        <v>112</v>
      </c>
      <c r="E42" s="82">
        <f ca="1">SUM(OFFSET('Controle Financeiro'!$C$20:$G$20,0,5*B42))</f>
        <v>2485.0300000000002</v>
      </c>
    </row>
    <row r="43" spans="2:5">
      <c r="B43">
        <v>36</v>
      </c>
      <c r="C43" s="118">
        <v>2021</v>
      </c>
      <c r="D43" s="5" t="s">
        <v>101</v>
      </c>
      <c r="E43" s="82">
        <f ca="1">SUM(OFFSET('Controle Financeiro'!$C$20:$G$20,0,5*B43))</f>
        <v>1693.3700000000001</v>
      </c>
    </row>
    <row r="44" spans="2:5">
      <c r="B44">
        <v>37</v>
      </c>
      <c r="C44" s="118"/>
      <c r="D44" s="5" t="s">
        <v>102</v>
      </c>
      <c r="E44" s="82">
        <f ca="1">SUM(OFFSET('Controle Financeiro'!$C$20:$G$20,0,5*B44))</f>
        <v>2695.4700000000003</v>
      </c>
    </row>
    <row r="45" spans="2:5">
      <c r="B45">
        <v>38</v>
      </c>
      <c r="C45" s="118"/>
      <c r="D45" s="5" t="s">
        <v>103</v>
      </c>
      <c r="E45" s="82">
        <f ca="1">SUM(OFFSET('Controle Financeiro'!$C$20:$G$20,0,5*B45))</f>
        <v>1304.0899999999999</v>
      </c>
    </row>
    <row r="46" spans="2:5">
      <c r="B46">
        <v>39</v>
      </c>
      <c r="C46" s="118"/>
      <c r="D46" s="5" t="s">
        <v>104</v>
      </c>
      <c r="E46" s="82">
        <f ca="1">SUM(OFFSET('Controle Financeiro'!$C$20:$G$20,0,5*B46))</f>
        <v>1149.05</v>
      </c>
    </row>
    <row r="47" spans="2:5">
      <c r="B47">
        <v>40</v>
      </c>
      <c r="C47" s="118"/>
      <c r="D47" s="5" t="s">
        <v>105</v>
      </c>
      <c r="E47" s="82">
        <f ca="1">SUM(OFFSET('Controle Financeiro'!$C$20:$G$20,0,5*B47))</f>
        <v>5438.8700000000008</v>
      </c>
    </row>
    <row r="48" spans="2:5">
      <c r="B48">
        <v>41</v>
      </c>
      <c r="C48" s="118"/>
      <c r="D48" s="5" t="s">
        <v>106</v>
      </c>
      <c r="E48" s="82">
        <f ca="1">SUM(OFFSET('Controle Financeiro'!$C$20:$G$20,0,5*B48))</f>
        <v>71856.23</v>
      </c>
    </row>
    <row r="49" spans="2:5">
      <c r="B49">
        <v>42</v>
      </c>
      <c r="C49" s="118"/>
      <c r="D49" s="5" t="s">
        <v>107</v>
      </c>
      <c r="E49" s="82">
        <f ca="1">SUM(OFFSET('Controle Financeiro'!$C$20:$G$20,0,5*B49))</f>
        <v>3134.92</v>
      </c>
    </row>
    <row r="50" spans="2:5">
      <c r="B50">
        <v>43</v>
      </c>
      <c r="C50" s="118"/>
      <c r="D50" s="5" t="s">
        <v>108</v>
      </c>
      <c r="E50" s="82">
        <f ca="1">SUM(OFFSET('Controle Financeiro'!$C$20:$G$20,0,5*B50))</f>
        <v>8163.2699999999995</v>
      </c>
    </row>
    <row r="51" spans="2:5">
      <c r="B51">
        <v>44</v>
      </c>
      <c r="C51" s="118"/>
      <c r="D51" s="5" t="s">
        <v>109</v>
      </c>
      <c r="E51" s="82">
        <f ca="1">SUM(OFFSET('Controle Financeiro'!$C$20:$G$20,0,5*B51))</f>
        <v>9929.7900000000009</v>
      </c>
    </row>
    <row r="52" spans="2:5">
      <c r="B52">
        <v>45</v>
      </c>
      <c r="C52" s="118"/>
      <c r="D52" s="5" t="s">
        <v>110</v>
      </c>
      <c r="E52" s="82">
        <f ca="1">SUM(OFFSET('Controle Financeiro'!$C$20:$G$20,0,5*B52))</f>
        <v>2495.84</v>
      </c>
    </row>
    <row r="53" spans="2:5">
      <c r="B53">
        <v>46</v>
      </c>
      <c r="C53" s="118"/>
      <c r="D53" s="5" t="s">
        <v>111</v>
      </c>
      <c r="E53" s="82">
        <f ca="1">SUM(OFFSET('Controle Financeiro'!$C$20:$G$20,0,5*B53))</f>
        <v>2106.96</v>
      </c>
    </row>
    <row r="54" spans="2:5">
      <c r="B54">
        <v>47</v>
      </c>
      <c r="C54" s="118"/>
      <c r="D54" s="5" t="s">
        <v>112</v>
      </c>
      <c r="E54" s="82">
        <f ca="1">SUM(OFFSET('Controle Financeiro'!$C$20:$G$20,0,5*B54))</f>
        <v>33052.980000000003</v>
      </c>
    </row>
    <row r="55" spans="2:5">
      <c r="B55">
        <v>48</v>
      </c>
      <c r="C55" s="118">
        <v>2022</v>
      </c>
      <c r="D55" s="5" t="s">
        <v>101</v>
      </c>
      <c r="E55" s="82">
        <f ca="1">SUM(OFFSET('Controle Financeiro'!$C$20:$G$20,0,5*B55))</f>
        <v>1470.06</v>
      </c>
    </row>
    <row r="56" spans="2:5">
      <c r="B56">
        <v>49</v>
      </c>
      <c r="C56" s="118"/>
      <c r="D56" s="5" t="s">
        <v>102</v>
      </c>
      <c r="E56" s="82">
        <f ca="1">SUM(OFFSET('Controle Financeiro'!$C$20:$G$20,0,5*B56))</f>
        <v>3611.85</v>
      </c>
    </row>
    <row r="57" spans="2:5">
      <c r="B57">
        <v>50</v>
      </c>
      <c r="C57" s="118"/>
      <c r="D57" s="5" t="s">
        <v>103</v>
      </c>
      <c r="E57" s="82">
        <f ca="1">SUM(OFFSET('Controle Financeiro'!$C$20:$G$20,0,5*B57))</f>
        <v>10772.42</v>
      </c>
    </row>
    <row r="58" spans="2:5">
      <c r="B58">
        <v>51</v>
      </c>
      <c r="C58" s="118"/>
      <c r="D58" s="5" t="s">
        <v>104</v>
      </c>
      <c r="E58" s="82">
        <f ca="1">SUM(OFFSET('Controle Financeiro'!$C$20:$G$20,0,5*B58))</f>
        <v>16835.04</v>
      </c>
    </row>
    <row r="59" spans="2:5">
      <c r="B59">
        <v>52</v>
      </c>
      <c r="C59" s="118"/>
      <c r="D59" s="5" t="s">
        <v>105</v>
      </c>
      <c r="E59" s="82">
        <f ca="1">SUM(OFFSET('Controle Financeiro'!$C$20:$G$20,0,5*B59))</f>
        <v>8607.84</v>
      </c>
    </row>
    <row r="60" spans="2:5">
      <c r="B60">
        <v>53</v>
      </c>
      <c r="C60" s="118"/>
      <c r="D60" s="5" t="s">
        <v>106</v>
      </c>
      <c r="E60" s="82">
        <f ca="1">SUM(OFFSET('Controle Financeiro'!$C$20:$G$20,0,5*B60))</f>
        <v>4430.59</v>
      </c>
    </row>
    <row r="61" spans="2:5">
      <c r="B61">
        <v>54</v>
      </c>
      <c r="C61" s="118"/>
      <c r="D61" s="5" t="s">
        <v>107</v>
      </c>
      <c r="E61" s="82">
        <f ca="1">SUM(OFFSET('Controle Financeiro'!$C$20:$G$20,0,5*B61))</f>
        <v>18909.670000000002</v>
      </c>
    </row>
    <row r="62" spans="2:5">
      <c r="B62">
        <v>55</v>
      </c>
      <c r="C62" s="118"/>
      <c r="D62" s="5" t="s">
        <v>108</v>
      </c>
      <c r="E62" s="82">
        <f ca="1">SUM(OFFSET('Controle Financeiro'!$C$20:$G$20,0,5*B62))</f>
        <v>14145.52</v>
      </c>
    </row>
    <row r="63" spans="2:5">
      <c r="B63">
        <v>56</v>
      </c>
      <c r="C63" s="118"/>
      <c r="D63" s="5" t="s">
        <v>109</v>
      </c>
      <c r="E63" s="82">
        <f ca="1">SUM(OFFSET('Controle Financeiro'!$C$20:$G$20,0,5*B63))</f>
        <v>5086.67</v>
      </c>
    </row>
    <row r="64" spans="2:5">
      <c r="B64">
        <v>57</v>
      </c>
      <c r="C64" s="118"/>
      <c r="D64" s="5" t="s">
        <v>110</v>
      </c>
      <c r="E64" s="82">
        <f ca="1">SUM(OFFSET('Controle Financeiro'!$C$20:$G$20,0,5*B64))</f>
        <v>5521.2099999999991</v>
      </c>
    </row>
    <row r="65" spans="2:5">
      <c r="B65">
        <v>58</v>
      </c>
      <c r="C65" s="118"/>
      <c r="D65" s="5" t="s">
        <v>111</v>
      </c>
      <c r="E65" s="82">
        <f ca="1">SUM(OFFSET('Controle Financeiro'!$C$20:$G$20,0,5*B65))</f>
        <v>8187.4500000000007</v>
      </c>
    </row>
    <row r="66" spans="2:5">
      <c r="B66">
        <v>59</v>
      </c>
      <c r="C66" s="118"/>
      <c r="D66" s="5" t="s">
        <v>112</v>
      </c>
      <c r="E66" s="82">
        <f ca="1">SUM(OFFSET('Controle Financeiro'!$C$20:$G$20,0,5*B66))</f>
        <v>5807.3</v>
      </c>
    </row>
    <row r="67" spans="2:5">
      <c r="B67">
        <v>60</v>
      </c>
      <c r="C67" s="118">
        <v>2023</v>
      </c>
      <c r="D67" s="5" t="s">
        <v>101</v>
      </c>
      <c r="E67" s="82">
        <f ca="1">SUM(OFFSET('Controle Financeiro'!$C$20:$G$20,0,5*B67))</f>
        <v>22236.079999999998</v>
      </c>
    </row>
    <row r="68" spans="2:5">
      <c r="B68">
        <v>61</v>
      </c>
      <c r="C68" s="118"/>
      <c r="D68" s="5" t="s">
        <v>102</v>
      </c>
      <c r="E68" s="82">
        <f ca="1">SUM(OFFSET('Controle Financeiro'!$C$20:$G$20,0,5*B68))</f>
        <v>5972.8999999999987</v>
      </c>
    </row>
    <row r="69" spans="2:5">
      <c r="B69">
        <v>62</v>
      </c>
      <c r="C69" s="118"/>
      <c r="D69" s="5" t="s">
        <v>103</v>
      </c>
      <c r="E69" s="82">
        <f ca="1">SUM(OFFSET('Controle Financeiro'!$C$20:$G$20,0,5*B69))</f>
        <v>10492.26</v>
      </c>
    </row>
    <row r="70" spans="2:5">
      <c r="B70">
        <v>63</v>
      </c>
      <c r="C70" s="118"/>
      <c r="D70" s="5" t="s">
        <v>104</v>
      </c>
      <c r="E70" s="82">
        <f ca="1">SUM(OFFSET('Controle Financeiro'!$C$20:$G$20,0,5*B70))</f>
        <v>7377.93</v>
      </c>
    </row>
    <row r="71" spans="2:5">
      <c r="B71">
        <v>64</v>
      </c>
      <c r="C71" s="118"/>
      <c r="D71" s="5" t="s">
        <v>105</v>
      </c>
      <c r="E71" s="82">
        <f ca="1">SUM(OFFSET('Controle Financeiro'!$C$20:$G$20,0,5*B71))</f>
        <v>6988.17</v>
      </c>
    </row>
    <row r="72" spans="2:5">
      <c r="B72">
        <v>65</v>
      </c>
      <c r="C72" s="118"/>
      <c r="D72" s="5" t="s">
        <v>106</v>
      </c>
      <c r="E72" s="82">
        <f ca="1">SUM(OFFSET('Controle Financeiro'!$C$20:$G$20,0,5*B72))</f>
        <v>6689.2999999999993</v>
      </c>
    </row>
    <row r="73" spans="2:5">
      <c r="B73">
        <v>66</v>
      </c>
      <c r="C73" s="118"/>
      <c r="D73" s="5" t="s">
        <v>107</v>
      </c>
      <c r="E73" s="82">
        <f ca="1">SUM(OFFSET('Controle Financeiro'!$C$20:$G$20,0,5*B73))</f>
        <v>23246.800000000003</v>
      </c>
    </row>
    <row r="74" spans="2:5">
      <c r="B74">
        <v>67</v>
      </c>
      <c r="C74" s="118"/>
      <c r="D74" s="5" t="s">
        <v>108</v>
      </c>
      <c r="E74" s="82">
        <f ca="1">SUM(OFFSET('Controle Financeiro'!$C$20:$G$20,0,5*B74))</f>
        <v>8787.5300000000007</v>
      </c>
    </row>
    <row r="75" spans="2:5">
      <c r="B75">
        <v>68</v>
      </c>
      <c r="C75" s="118"/>
      <c r="D75" s="5" t="s">
        <v>109</v>
      </c>
      <c r="E75" s="82">
        <f ca="1">SUM(OFFSET('Controle Financeiro'!$C$20:$G$20,0,5*B75))</f>
        <v>7585.619999999999</v>
      </c>
    </row>
    <row r="76" spans="2:5">
      <c r="B76">
        <v>69</v>
      </c>
      <c r="C76" s="118"/>
      <c r="D76" s="5" t="s">
        <v>110</v>
      </c>
      <c r="E76" s="82">
        <f ca="1">SUM(OFFSET('Controle Financeiro'!$C$20:$G$20,0,5*B76))</f>
        <v>8292.64</v>
      </c>
    </row>
    <row r="77" spans="2:5">
      <c r="B77">
        <v>70</v>
      </c>
      <c r="C77" s="118"/>
      <c r="D77" s="5" t="s">
        <v>111</v>
      </c>
      <c r="E77" s="82">
        <f ca="1">SUM(OFFSET('Controle Financeiro'!$C$20:$G$20,0,5*B77))</f>
        <v>9574.83</v>
      </c>
    </row>
    <row r="78" spans="2:5">
      <c r="B78">
        <v>71</v>
      </c>
      <c r="C78" s="118"/>
      <c r="D78" s="5" t="s">
        <v>112</v>
      </c>
      <c r="E78" s="82">
        <f ca="1">SUM(OFFSET('Controle Financeiro'!$C$20:$G$20,0,5*B78))</f>
        <v>6272.8</v>
      </c>
    </row>
  </sheetData>
  <mergeCells count="7">
    <mergeCell ref="C67:C78"/>
    <mergeCell ref="C2:V3"/>
    <mergeCell ref="C7:C18"/>
    <mergeCell ref="C19:C30"/>
    <mergeCell ref="C31:C42"/>
    <mergeCell ref="C43:C54"/>
    <mergeCell ref="C55:C6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4524-312F-4174-BEEB-A681ECB30A1A}">
  <dimension ref="A1:M3500"/>
  <sheetViews>
    <sheetView showGridLines="0" workbookViewId="0">
      <selection activeCell="I30" sqref="I30"/>
    </sheetView>
  </sheetViews>
  <sheetFormatPr defaultRowHeight="14.25"/>
  <cols>
    <col min="1" max="1" width="10.375" bestFit="1" customWidth="1"/>
    <col min="2" max="2" width="10.5" bestFit="1" customWidth="1"/>
    <col min="3" max="3" width="13.25" customWidth="1"/>
    <col min="4" max="4" width="9.875" customWidth="1"/>
    <col min="5" max="5" width="8.75" bestFit="1" customWidth="1"/>
    <col min="6" max="6" width="9" bestFit="1" customWidth="1"/>
    <col min="9" max="9" width="12.875" customWidth="1"/>
    <col min="10" max="10" width="11.75" bestFit="1" customWidth="1"/>
    <col min="12" max="12" width="10.375" customWidth="1"/>
    <col min="13" max="13" width="11.75" bestFit="1" customWidth="1"/>
  </cols>
  <sheetData>
    <row r="1" spans="1:13">
      <c r="A1" s="83" t="s">
        <v>114</v>
      </c>
      <c r="B1" s="83" t="s">
        <v>1</v>
      </c>
      <c r="C1" s="83" t="s">
        <v>115</v>
      </c>
      <c r="D1" s="83" t="s">
        <v>116</v>
      </c>
      <c r="E1" s="83" t="s">
        <v>117</v>
      </c>
      <c r="F1" s="83" t="s">
        <v>33</v>
      </c>
      <c r="I1" s="126" t="s">
        <v>115</v>
      </c>
      <c r="J1" s="126" t="s">
        <v>15197</v>
      </c>
      <c r="L1" s="128" t="s">
        <v>116</v>
      </c>
      <c r="M1" s="129" t="s">
        <v>15197</v>
      </c>
    </row>
    <row r="2" spans="1:13">
      <c r="A2" s="1">
        <v>43466</v>
      </c>
      <c r="B2" t="s">
        <v>118</v>
      </c>
      <c r="C2" t="s">
        <v>119</v>
      </c>
      <c r="D2" t="s">
        <v>120</v>
      </c>
      <c r="E2" t="s">
        <v>121</v>
      </c>
      <c r="F2" s="2">
        <v>90</v>
      </c>
      <c r="I2" t="s">
        <v>119</v>
      </c>
      <c r="J2" s="86">
        <f>SUMIFS(F:F,C:C,I2)</f>
        <v>22920</v>
      </c>
      <c r="L2" t="s">
        <v>120</v>
      </c>
      <c r="M2" s="86">
        <f>SUMIFS(F:F,D:D,L2,E:E,"Verde")</f>
        <v>7380</v>
      </c>
    </row>
    <row r="3" spans="1:13">
      <c r="A3" s="1">
        <v>43466</v>
      </c>
      <c r="B3" t="s">
        <v>122</v>
      </c>
      <c r="C3" t="s">
        <v>123</v>
      </c>
      <c r="D3" t="s">
        <v>120</v>
      </c>
      <c r="E3" t="s">
        <v>121</v>
      </c>
      <c r="F3" s="2">
        <v>90</v>
      </c>
      <c r="I3" t="s">
        <v>123</v>
      </c>
      <c r="J3" s="86">
        <f t="shared" ref="J3:J18" si="0">SUMIFS(F:F,C:C,I3)</f>
        <v>17890</v>
      </c>
      <c r="L3" t="s">
        <v>126</v>
      </c>
      <c r="M3" s="86">
        <f t="shared" ref="M3:M9" si="1">SUMIFS(F:F,D:D,L3,E:E,"Verde")</f>
        <v>14240</v>
      </c>
    </row>
    <row r="4" spans="1:13">
      <c r="A4" s="1">
        <v>43466</v>
      </c>
      <c r="B4" t="s">
        <v>124</v>
      </c>
      <c r="C4" t="s">
        <v>125</v>
      </c>
      <c r="D4" t="s">
        <v>126</v>
      </c>
      <c r="E4" t="s">
        <v>127</v>
      </c>
      <c r="F4" s="2">
        <v>160</v>
      </c>
      <c r="I4" t="s">
        <v>125</v>
      </c>
      <c r="J4" s="86">
        <f t="shared" si="0"/>
        <v>23550</v>
      </c>
      <c r="L4" t="s">
        <v>130</v>
      </c>
      <c r="M4" s="86">
        <f t="shared" si="1"/>
        <v>9700</v>
      </c>
    </row>
    <row r="5" spans="1:13">
      <c r="A5" s="1">
        <v>43466</v>
      </c>
      <c r="B5" t="s">
        <v>128</v>
      </c>
      <c r="C5" t="s">
        <v>129</v>
      </c>
      <c r="D5" t="s">
        <v>130</v>
      </c>
      <c r="E5" t="s">
        <v>131</v>
      </c>
      <c r="F5" s="2">
        <v>100</v>
      </c>
      <c r="I5" t="s">
        <v>129</v>
      </c>
      <c r="J5" s="86">
        <f t="shared" si="0"/>
        <v>21930</v>
      </c>
      <c r="L5" t="s">
        <v>133</v>
      </c>
      <c r="M5" s="86">
        <f t="shared" si="1"/>
        <v>2640</v>
      </c>
    </row>
    <row r="6" spans="1:13">
      <c r="A6" s="1">
        <v>43466</v>
      </c>
      <c r="B6" t="s">
        <v>132</v>
      </c>
      <c r="C6" t="s">
        <v>123</v>
      </c>
      <c r="D6" t="s">
        <v>133</v>
      </c>
      <c r="E6" t="s">
        <v>134</v>
      </c>
      <c r="F6" s="2">
        <v>30</v>
      </c>
      <c r="I6" t="s">
        <v>136</v>
      </c>
      <c r="J6" s="86">
        <f t="shared" si="0"/>
        <v>20880</v>
      </c>
      <c r="L6" t="s">
        <v>139</v>
      </c>
      <c r="M6" s="86">
        <f t="shared" si="1"/>
        <v>7200</v>
      </c>
    </row>
    <row r="7" spans="1:13">
      <c r="A7" s="1">
        <v>43466</v>
      </c>
      <c r="B7" t="s">
        <v>135</v>
      </c>
      <c r="C7" t="s">
        <v>136</v>
      </c>
      <c r="D7" t="s">
        <v>130</v>
      </c>
      <c r="E7" t="s">
        <v>121</v>
      </c>
      <c r="F7" s="2">
        <v>100</v>
      </c>
      <c r="I7" t="s">
        <v>138</v>
      </c>
      <c r="J7" s="86">
        <f t="shared" si="0"/>
        <v>21260</v>
      </c>
      <c r="L7" t="s">
        <v>141</v>
      </c>
      <c r="M7" s="86">
        <f t="shared" si="1"/>
        <v>15120</v>
      </c>
    </row>
    <row r="8" spans="1:13">
      <c r="A8" s="1">
        <v>43466</v>
      </c>
      <c r="B8" t="s">
        <v>137</v>
      </c>
      <c r="C8" t="s">
        <v>138</v>
      </c>
      <c r="D8" t="s">
        <v>139</v>
      </c>
      <c r="E8" t="s">
        <v>134</v>
      </c>
      <c r="F8" s="2">
        <v>80</v>
      </c>
      <c r="I8" t="s">
        <v>143</v>
      </c>
      <c r="J8" s="86">
        <f t="shared" si="0"/>
        <v>24480</v>
      </c>
      <c r="L8" t="s">
        <v>146</v>
      </c>
      <c r="M8" s="86">
        <f t="shared" si="1"/>
        <v>4800</v>
      </c>
    </row>
    <row r="9" spans="1:13">
      <c r="A9" s="1">
        <v>43466</v>
      </c>
      <c r="B9" t="s">
        <v>140</v>
      </c>
      <c r="C9" t="s">
        <v>138</v>
      </c>
      <c r="D9" t="s">
        <v>141</v>
      </c>
      <c r="E9" t="s">
        <v>131</v>
      </c>
      <c r="F9" s="2">
        <v>180</v>
      </c>
      <c r="I9" t="s">
        <v>145</v>
      </c>
      <c r="J9" s="86">
        <f t="shared" si="0"/>
        <v>16750</v>
      </c>
      <c r="L9" t="s">
        <v>159</v>
      </c>
      <c r="M9" s="86">
        <f t="shared" si="1"/>
        <v>14550</v>
      </c>
    </row>
    <row r="10" spans="1:13">
      <c r="A10" s="1">
        <v>43466</v>
      </c>
      <c r="B10" t="s">
        <v>142</v>
      </c>
      <c r="C10" t="s">
        <v>143</v>
      </c>
      <c r="D10" t="s">
        <v>133</v>
      </c>
      <c r="E10" t="s">
        <v>131</v>
      </c>
      <c r="F10" s="2">
        <v>30</v>
      </c>
      <c r="I10" t="s">
        <v>148</v>
      </c>
      <c r="J10" s="86">
        <f t="shared" si="0"/>
        <v>20250</v>
      </c>
    </row>
    <row r="11" spans="1:13">
      <c r="A11" s="1">
        <v>43466</v>
      </c>
      <c r="B11" t="s">
        <v>144</v>
      </c>
      <c r="C11" t="s">
        <v>145</v>
      </c>
      <c r="D11" t="s">
        <v>146</v>
      </c>
      <c r="E11" t="s">
        <v>121</v>
      </c>
      <c r="F11" s="2">
        <v>50</v>
      </c>
      <c r="I11" t="s">
        <v>152</v>
      </c>
      <c r="J11" s="86">
        <f t="shared" si="0"/>
        <v>23380</v>
      </c>
    </row>
    <row r="12" spans="1:13">
      <c r="A12" s="1">
        <v>43466</v>
      </c>
      <c r="B12" t="s">
        <v>147</v>
      </c>
      <c r="C12" t="s">
        <v>148</v>
      </c>
      <c r="D12" t="s">
        <v>141</v>
      </c>
      <c r="E12" t="s">
        <v>131</v>
      </c>
      <c r="F12" s="2">
        <v>180</v>
      </c>
      <c r="I12" t="s">
        <v>157</v>
      </c>
      <c r="J12" s="86">
        <f t="shared" si="0"/>
        <v>23230</v>
      </c>
    </row>
    <row r="13" spans="1:13">
      <c r="A13" s="1">
        <v>43466</v>
      </c>
      <c r="B13" t="s">
        <v>149</v>
      </c>
      <c r="C13" t="s">
        <v>119</v>
      </c>
      <c r="D13" t="s">
        <v>130</v>
      </c>
      <c r="E13" t="s">
        <v>134</v>
      </c>
      <c r="F13" s="2">
        <v>100</v>
      </c>
      <c r="I13" t="s">
        <v>164</v>
      </c>
      <c r="J13" s="86">
        <f t="shared" si="0"/>
        <v>22790</v>
      </c>
    </row>
    <row r="14" spans="1:13">
      <c r="A14" s="1">
        <v>43467</v>
      </c>
      <c r="B14" t="s">
        <v>150</v>
      </c>
      <c r="C14" t="s">
        <v>143</v>
      </c>
      <c r="D14" t="s">
        <v>130</v>
      </c>
      <c r="E14" t="s">
        <v>134</v>
      </c>
      <c r="F14" s="2">
        <v>100</v>
      </c>
      <c r="I14" t="s">
        <v>167</v>
      </c>
      <c r="J14" s="86">
        <f t="shared" si="0"/>
        <v>19250</v>
      </c>
    </row>
    <row r="15" spans="1:13">
      <c r="A15" s="1">
        <v>43467</v>
      </c>
      <c r="B15" t="s">
        <v>151</v>
      </c>
      <c r="C15" t="s">
        <v>152</v>
      </c>
      <c r="D15" t="s">
        <v>130</v>
      </c>
      <c r="E15" t="s">
        <v>153</v>
      </c>
      <c r="F15" s="2">
        <v>100</v>
      </c>
      <c r="I15" t="s">
        <v>182</v>
      </c>
      <c r="J15" s="86">
        <f t="shared" si="0"/>
        <v>22080</v>
      </c>
    </row>
    <row r="16" spans="1:13">
      <c r="A16" s="1">
        <v>43467</v>
      </c>
      <c r="B16" t="s">
        <v>154</v>
      </c>
      <c r="C16" t="s">
        <v>148</v>
      </c>
      <c r="D16" t="s">
        <v>126</v>
      </c>
      <c r="E16" t="s">
        <v>134</v>
      </c>
      <c r="F16" s="2">
        <v>160</v>
      </c>
      <c r="I16" t="s">
        <v>187</v>
      </c>
      <c r="J16" s="86">
        <f t="shared" si="0"/>
        <v>23860</v>
      </c>
    </row>
    <row r="17" spans="1:10">
      <c r="A17" s="1">
        <v>43467</v>
      </c>
      <c r="B17" t="s">
        <v>155</v>
      </c>
      <c r="C17" t="s">
        <v>119</v>
      </c>
      <c r="D17" t="s">
        <v>141</v>
      </c>
      <c r="E17" t="s">
        <v>131</v>
      </c>
      <c r="F17" s="2">
        <v>180</v>
      </c>
      <c r="I17" t="s">
        <v>189</v>
      </c>
      <c r="J17" s="86">
        <f t="shared" si="0"/>
        <v>21820</v>
      </c>
    </row>
    <row r="18" spans="1:10">
      <c r="A18" s="1">
        <v>43467</v>
      </c>
      <c r="B18" t="s">
        <v>156</v>
      </c>
      <c r="C18" t="s">
        <v>157</v>
      </c>
      <c r="D18" t="s">
        <v>130</v>
      </c>
      <c r="E18" t="s">
        <v>121</v>
      </c>
      <c r="F18" s="2">
        <v>100</v>
      </c>
      <c r="I18" t="s">
        <v>223</v>
      </c>
      <c r="J18" s="86">
        <f t="shared" si="0"/>
        <v>24290</v>
      </c>
    </row>
    <row r="19" spans="1:10">
      <c r="A19" s="1">
        <v>43467</v>
      </c>
      <c r="B19" t="s">
        <v>158</v>
      </c>
      <c r="C19" t="s">
        <v>125</v>
      </c>
      <c r="D19" t="s">
        <v>159</v>
      </c>
      <c r="E19" t="s">
        <v>127</v>
      </c>
      <c r="F19" s="2">
        <v>150</v>
      </c>
    </row>
    <row r="20" spans="1:10">
      <c r="A20" s="1">
        <v>43467</v>
      </c>
      <c r="B20" t="s">
        <v>160</v>
      </c>
      <c r="C20" t="s">
        <v>136</v>
      </c>
      <c r="D20" t="s">
        <v>130</v>
      </c>
      <c r="E20" t="s">
        <v>127</v>
      </c>
      <c r="F20" s="2">
        <v>100</v>
      </c>
    </row>
    <row r="21" spans="1:10">
      <c r="A21" s="1">
        <v>43467</v>
      </c>
      <c r="B21" t="s">
        <v>161</v>
      </c>
      <c r="C21" t="s">
        <v>143</v>
      </c>
      <c r="D21" t="s">
        <v>120</v>
      </c>
      <c r="E21" t="s">
        <v>121</v>
      </c>
      <c r="F21" s="2">
        <v>90</v>
      </c>
    </row>
    <row r="22" spans="1:10">
      <c r="A22" s="1">
        <v>43467</v>
      </c>
      <c r="B22" t="s">
        <v>162</v>
      </c>
      <c r="C22" t="s">
        <v>119</v>
      </c>
      <c r="D22" t="s">
        <v>139</v>
      </c>
      <c r="E22" t="s">
        <v>153</v>
      </c>
      <c r="F22" s="2">
        <v>80</v>
      </c>
    </row>
    <row r="23" spans="1:10">
      <c r="A23" s="1">
        <v>43468</v>
      </c>
      <c r="B23" t="s">
        <v>163</v>
      </c>
      <c r="C23" t="s">
        <v>164</v>
      </c>
      <c r="D23" t="s">
        <v>133</v>
      </c>
      <c r="E23" t="s">
        <v>127</v>
      </c>
      <c r="F23" s="2">
        <v>30</v>
      </c>
    </row>
    <row r="24" spans="1:10">
      <c r="A24" s="1">
        <v>43468</v>
      </c>
      <c r="B24" t="s">
        <v>165</v>
      </c>
      <c r="C24" t="s">
        <v>157</v>
      </c>
      <c r="D24" t="s">
        <v>126</v>
      </c>
      <c r="E24" t="s">
        <v>131</v>
      </c>
      <c r="F24" s="2">
        <v>160</v>
      </c>
    </row>
    <row r="25" spans="1:10">
      <c r="A25" s="1">
        <v>43468</v>
      </c>
      <c r="B25" t="s">
        <v>166</v>
      </c>
      <c r="C25" t="s">
        <v>167</v>
      </c>
      <c r="D25" t="s">
        <v>141</v>
      </c>
      <c r="E25" t="s">
        <v>131</v>
      </c>
      <c r="F25" s="2">
        <v>180</v>
      </c>
    </row>
    <row r="26" spans="1:10">
      <c r="A26" s="1">
        <v>43468</v>
      </c>
      <c r="B26" t="s">
        <v>168</v>
      </c>
      <c r="C26" t="s">
        <v>152</v>
      </c>
      <c r="D26" t="s">
        <v>126</v>
      </c>
      <c r="E26" t="s">
        <v>134</v>
      </c>
      <c r="F26" s="2">
        <v>160</v>
      </c>
    </row>
    <row r="27" spans="1:10">
      <c r="A27" s="1">
        <v>43468</v>
      </c>
      <c r="B27" t="s">
        <v>169</v>
      </c>
      <c r="C27" t="s">
        <v>167</v>
      </c>
      <c r="D27" t="s">
        <v>159</v>
      </c>
      <c r="E27" t="s">
        <v>127</v>
      </c>
      <c r="F27" s="2">
        <v>150</v>
      </c>
    </row>
    <row r="28" spans="1:10">
      <c r="A28" s="1">
        <v>43468</v>
      </c>
      <c r="B28" t="s">
        <v>170</v>
      </c>
      <c r="C28" t="s">
        <v>125</v>
      </c>
      <c r="D28" t="s">
        <v>126</v>
      </c>
      <c r="E28" t="s">
        <v>131</v>
      </c>
      <c r="F28" s="2">
        <v>160</v>
      </c>
    </row>
    <row r="29" spans="1:10">
      <c r="A29" s="1">
        <v>43468</v>
      </c>
      <c r="B29" t="s">
        <v>171</v>
      </c>
      <c r="C29" t="s">
        <v>138</v>
      </c>
      <c r="D29" t="s">
        <v>126</v>
      </c>
      <c r="E29" t="s">
        <v>153</v>
      </c>
      <c r="F29" s="2">
        <v>160</v>
      </c>
    </row>
    <row r="30" spans="1:10">
      <c r="A30" s="1">
        <v>43468</v>
      </c>
      <c r="B30" t="s">
        <v>172</v>
      </c>
      <c r="C30" t="s">
        <v>136</v>
      </c>
      <c r="D30" t="s">
        <v>130</v>
      </c>
      <c r="E30" t="s">
        <v>127</v>
      </c>
      <c r="F30" s="2">
        <v>100</v>
      </c>
    </row>
    <row r="31" spans="1:10">
      <c r="A31" s="1">
        <v>43469</v>
      </c>
      <c r="B31" t="s">
        <v>173</v>
      </c>
      <c r="C31" t="s">
        <v>138</v>
      </c>
      <c r="D31" t="s">
        <v>159</v>
      </c>
      <c r="E31" t="s">
        <v>127</v>
      </c>
      <c r="F31" s="2">
        <v>150</v>
      </c>
    </row>
    <row r="32" spans="1:10">
      <c r="A32" s="1">
        <v>43469</v>
      </c>
      <c r="B32" t="s">
        <v>174</v>
      </c>
      <c r="C32" t="s">
        <v>167</v>
      </c>
      <c r="D32" t="s">
        <v>146</v>
      </c>
      <c r="E32" t="s">
        <v>121</v>
      </c>
      <c r="F32" s="2">
        <v>50</v>
      </c>
    </row>
    <row r="33" spans="1:6">
      <c r="A33" s="1">
        <v>43469</v>
      </c>
      <c r="B33" t="s">
        <v>175</v>
      </c>
      <c r="C33" t="s">
        <v>167</v>
      </c>
      <c r="D33" t="s">
        <v>139</v>
      </c>
      <c r="E33" t="s">
        <v>127</v>
      </c>
      <c r="F33" s="2">
        <v>80</v>
      </c>
    </row>
    <row r="34" spans="1:6">
      <c r="A34" s="1">
        <v>43469</v>
      </c>
      <c r="B34" t="s">
        <v>176</v>
      </c>
      <c r="C34" t="s">
        <v>167</v>
      </c>
      <c r="D34" t="s">
        <v>139</v>
      </c>
      <c r="E34" t="s">
        <v>127</v>
      </c>
      <c r="F34" s="2">
        <v>80</v>
      </c>
    </row>
    <row r="35" spans="1:6">
      <c r="A35" s="1">
        <v>43469</v>
      </c>
      <c r="B35" t="s">
        <v>177</v>
      </c>
      <c r="C35" t="s">
        <v>129</v>
      </c>
      <c r="D35" t="s">
        <v>141</v>
      </c>
      <c r="E35" t="s">
        <v>131</v>
      </c>
      <c r="F35" s="2">
        <v>180</v>
      </c>
    </row>
    <row r="36" spans="1:6">
      <c r="A36" s="1">
        <v>43469</v>
      </c>
      <c r="B36" t="s">
        <v>178</v>
      </c>
      <c r="C36" t="s">
        <v>145</v>
      </c>
      <c r="D36" t="s">
        <v>139</v>
      </c>
      <c r="E36" t="s">
        <v>121</v>
      </c>
      <c r="F36" s="2">
        <v>80</v>
      </c>
    </row>
    <row r="37" spans="1:6">
      <c r="A37" s="1">
        <v>43469</v>
      </c>
      <c r="B37" t="s">
        <v>179</v>
      </c>
      <c r="C37" t="s">
        <v>138</v>
      </c>
      <c r="D37" t="s">
        <v>146</v>
      </c>
      <c r="E37" t="s">
        <v>131</v>
      </c>
      <c r="F37" s="2">
        <v>50</v>
      </c>
    </row>
    <row r="38" spans="1:6">
      <c r="A38" s="1">
        <v>43469</v>
      </c>
      <c r="B38" t="s">
        <v>180</v>
      </c>
      <c r="C38" t="s">
        <v>167</v>
      </c>
      <c r="D38" t="s">
        <v>159</v>
      </c>
      <c r="E38" t="s">
        <v>134</v>
      </c>
      <c r="F38" s="2">
        <v>150</v>
      </c>
    </row>
    <row r="39" spans="1:6">
      <c r="A39" s="1">
        <v>43469</v>
      </c>
      <c r="B39" t="s">
        <v>181</v>
      </c>
      <c r="C39" t="s">
        <v>182</v>
      </c>
      <c r="D39" t="s">
        <v>126</v>
      </c>
      <c r="E39" t="s">
        <v>134</v>
      </c>
      <c r="F39" s="2">
        <v>160</v>
      </c>
    </row>
    <row r="40" spans="1:6">
      <c r="A40" s="1">
        <v>43469</v>
      </c>
      <c r="B40" t="s">
        <v>183</v>
      </c>
      <c r="C40" t="s">
        <v>148</v>
      </c>
      <c r="D40" t="s">
        <v>126</v>
      </c>
      <c r="E40" t="s">
        <v>153</v>
      </c>
      <c r="F40" s="2">
        <v>160</v>
      </c>
    </row>
    <row r="41" spans="1:6">
      <c r="A41" s="1">
        <v>43469</v>
      </c>
      <c r="B41" t="s">
        <v>184</v>
      </c>
      <c r="C41" t="s">
        <v>152</v>
      </c>
      <c r="D41" t="s">
        <v>146</v>
      </c>
      <c r="E41" t="s">
        <v>121</v>
      </c>
      <c r="F41" s="2">
        <v>50</v>
      </c>
    </row>
    <row r="42" spans="1:6">
      <c r="A42" s="1">
        <v>43469</v>
      </c>
      <c r="B42" t="s">
        <v>185</v>
      </c>
      <c r="C42" t="s">
        <v>138</v>
      </c>
      <c r="D42" t="s">
        <v>126</v>
      </c>
      <c r="E42" t="s">
        <v>153</v>
      </c>
      <c r="F42" s="2">
        <v>160</v>
      </c>
    </row>
    <row r="43" spans="1:6">
      <c r="A43" s="1">
        <v>43470</v>
      </c>
      <c r="B43" t="s">
        <v>186</v>
      </c>
      <c r="C43" t="s">
        <v>187</v>
      </c>
      <c r="D43" t="s">
        <v>139</v>
      </c>
      <c r="E43" t="s">
        <v>127</v>
      </c>
      <c r="F43" s="2">
        <v>80</v>
      </c>
    </row>
    <row r="44" spans="1:6">
      <c r="A44" s="1">
        <v>43470</v>
      </c>
      <c r="B44" t="s">
        <v>188</v>
      </c>
      <c r="C44" t="s">
        <v>189</v>
      </c>
      <c r="D44" t="s">
        <v>139</v>
      </c>
      <c r="E44" t="s">
        <v>134</v>
      </c>
      <c r="F44" s="2">
        <v>80</v>
      </c>
    </row>
    <row r="45" spans="1:6">
      <c r="A45" s="1">
        <v>43470</v>
      </c>
      <c r="B45" t="s">
        <v>190</v>
      </c>
      <c r="C45" t="s">
        <v>136</v>
      </c>
      <c r="D45" t="s">
        <v>126</v>
      </c>
      <c r="E45" t="s">
        <v>127</v>
      </c>
      <c r="F45" s="2">
        <v>160</v>
      </c>
    </row>
    <row r="46" spans="1:6">
      <c r="A46" s="1">
        <v>43470</v>
      </c>
      <c r="B46" t="s">
        <v>191</v>
      </c>
      <c r="C46" t="s">
        <v>119</v>
      </c>
      <c r="D46" t="s">
        <v>141</v>
      </c>
      <c r="E46" t="s">
        <v>127</v>
      </c>
      <c r="F46" s="2">
        <v>180</v>
      </c>
    </row>
    <row r="47" spans="1:6">
      <c r="A47" s="1">
        <v>43470</v>
      </c>
      <c r="B47" t="s">
        <v>192</v>
      </c>
      <c r="C47" t="s">
        <v>129</v>
      </c>
      <c r="D47" t="s">
        <v>126</v>
      </c>
      <c r="E47" t="s">
        <v>134</v>
      </c>
      <c r="F47" s="2">
        <v>160</v>
      </c>
    </row>
    <row r="48" spans="1:6">
      <c r="A48" s="1">
        <v>43470</v>
      </c>
      <c r="B48" t="s">
        <v>193</v>
      </c>
      <c r="C48" t="s">
        <v>123</v>
      </c>
      <c r="D48" t="s">
        <v>120</v>
      </c>
      <c r="E48" t="s">
        <v>153</v>
      </c>
      <c r="F48" s="2">
        <v>90</v>
      </c>
    </row>
    <row r="49" spans="1:6">
      <c r="A49" s="1">
        <v>43470</v>
      </c>
      <c r="B49" t="s">
        <v>194</v>
      </c>
      <c r="C49" t="s">
        <v>148</v>
      </c>
      <c r="D49" t="s">
        <v>159</v>
      </c>
      <c r="E49" t="s">
        <v>153</v>
      </c>
      <c r="F49" s="2">
        <v>150</v>
      </c>
    </row>
    <row r="50" spans="1:6">
      <c r="A50" s="1">
        <v>43471</v>
      </c>
      <c r="B50" t="s">
        <v>195</v>
      </c>
      <c r="C50" t="s">
        <v>125</v>
      </c>
      <c r="D50" t="s">
        <v>146</v>
      </c>
      <c r="E50" t="s">
        <v>127</v>
      </c>
      <c r="F50" s="2">
        <v>50</v>
      </c>
    </row>
    <row r="51" spans="1:6">
      <c r="A51" s="1">
        <v>43471</v>
      </c>
      <c r="B51" t="s">
        <v>196</v>
      </c>
      <c r="C51" t="s">
        <v>125</v>
      </c>
      <c r="D51" t="s">
        <v>139</v>
      </c>
      <c r="E51" t="s">
        <v>121</v>
      </c>
      <c r="F51" s="2">
        <v>80</v>
      </c>
    </row>
    <row r="52" spans="1:6">
      <c r="A52" s="1">
        <v>43471</v>
      </c>
      <c r="B52" t="s">
        <v>197</v>
      </c>
      <c r="C52" t="s">
        <v>189</v>
      </c>
      <c r="D52" t="s">
        <v>120</v>
      </c>
      <c r="E52" t="s">
        <v>131</v>
      </c>
      <c r="F52" s="2">
        <v>90</v>
      </c>
    </row>
    <row r="53" spans="1:6">
      <c r="A53" s="1">
        <v>43471</v>
      </c>
      <c r="B53" t="s">
        <v>198</v>
      </c>
      <c r="C53" t="s">
        <v>187</v>
      </c>
      <c r="D53" t="s">
        <v>146</v>
      </c>
      <c r="E53" t="s">
        <v>121</v>
      </c>
      <c r="F53" s="2">
        <v>50</v>
      </c>
    </row>
    <row r="54" spans="1:6">
      <c r="A54" s="1">
        <v>43471</v>
      </c>
      <c r="B54" t="s">
        <v>199</v>
      </c>
      <c r="C54" t="s">
        <v>143</v>
      </c>
      <c r="D54" t="s">
        <v>141</v>
      </c>
      <c r="E54" t="s">
        <v>134</v>
      </c>
      <c r="F54" s="2">
        <v>180</v>
      </c>
    </row>
    <row r="55" spans="1:6">
      <c r="A55" s="1">
        <v>43471</v>
      </c>
      <c r="B55" t="s">
        <v>200</v>
      </c>
      <c r="C55" t="s">
        <v>125</v>
      </c>
      <c r="D55" t="s">
        <v>120</v>
      </c>
      <c r="E55" t="s">
        <v>127</v>
      </c>
      <c r="F55" s="2">
        <v>90</v>
      </c>
    </row>
    <row r="56" spans="1:6">
      <c r="A56" s="1">
        <v>43471</v>
      </c>
      <c r="B56" t="s">
        <v>201</v>
      </c>
      <c r="C56" t="s">
        <v>125</v>
      </c>
      <c r="D56" t="s">
        <v>139</v>
      </c>
      <c r="E56" t="s">
        <v>127</v>
      </c>
      <c r="F56" s="2">
        <v>80</v>
      </c>
    </row>
    <row r="57" spans="1:6">
      <c r="A57" s="1">
        <v>43471</v>
      </c>
      <c r="B57" t="s">
        <v>202</v>
      </c>
      <c r="C57" t="s">
        <v>148</v>
      </c>
      <c r="D57" t="s">
        <v>146</v>
      </c>
      <c r="E57" t="s">
        <v>134</v>
      </c>
      <c r="F57" s="2">
        <v>50</v>
      </c>
    </row>
    <row r="58" spans="1:6">
      <c r="A58" s="1">
        <v>43471</v>
      </c>
      <c r="B58" t="s">
        <v>203</v>
      </c>
      <c r="C58" t="s">
        <v>182</v>
      </c>
      <c r="D58" t="s">
        <v>146</v>
      </c>
      <c r="E58" t="s">
        <v>153</v>
      </c>
      <c r="F58" s="2">
        <v>50</v>
      </c>
    </row>
    <row r="59" spans="1:6">
      <c r="A59" s="1">
        <v>43472</v>
      </c>
      <c r="B59" t="s">
        <v>204</v>
      </c>
      <c r="C59" t="s">
        <v>157</v>
      </c>
      <c r="D59" t="s">
        <v>126</v>
      </c>
      <c r="E59" t="s">
        <v>121</v>
      </c>
      <c r="F59" s="2">
        <v>160</v>
      </c>
    </row>
    <row r="60" spans="1:6">
      <c r="A60" s="1">
        <v>43472</v>
      </c>
      <c r="B60" t="s">
        <v>205</v>
      </c>
      <c r="C60" t="s">
        <v>138</v>
      </c>
      <c r="D60" t="s">
        <v>141</v>
      </c>
      <c r="E60" t="s">
        <v>121</v>
      </c>
      <c r="F60" s="2">
        <v>180</v>
      </c>
    </row>
    <row r="61" spans="1:6">
      <c r="A61" s="1">
        <v>43472</v>
      </c>
      <c r="B61" t="s">
        <v>206</v>
      </c>
      <c r="C61" t="s">
        <v>145</v>
      </c>
      <c r="D61" t="s">
        <v>130</v>
      </c>
      <c r="E61" t="s">
        <v>134</v>
      </c>
      <c r="F61" s="2">
        <v>100</v>
      </c>
    </row>
    <row r="62" spans="1:6">
      <c r="A62" s="1">
        <v>43472</v>
      </c>
      <c r="B62" t="s">
        <v>207</v>
      </c>
      <c r="C62" t="s">
        <v>189</v>
      </c>
      <c r="D62" t="s">
        <v>120</v>
      </c>
      <c r="E62" t="s">
        <v>134</v>
      </c>
      <c r="F62" s="2">
        <v>90</v>
      </c>
    </row>
    <row r="63" spans="1:6">
      <c r="A63" s="1">
        <v>43472</v>
      </c>
      <c r="B63" t="s">
        <v>208</v>
      </c>
      <c r="C63" t="s">
        <v>123</v>
      </c>
      <c r="D63" t="s">
        <v>146</v>
      </c>
      <c r="E63" t="s">
        <v>153</v>
      </c>
      <c r="F63" s="2">
        <v>50</v>
      </c>
    </row>
    <row r="64" spans="1:6">
      <c r="A64" s="1">
        <v>43472</v>
      </c>
      <c r="B64" t="s">
        <v>209</v>
      </c>
      <c r="C64" t="s">
        <v>164</v>
      </c>
      <c r="D64" t="s">
        <v>133</v>
      </c>
      <c r="E64" t="s">
        <v>121</v>
      </c>
      <c r="F64" s="2">
        <v>30</v>
      </c>
    </row>
    <row r="65" spans="1:6">
      <c r="A65" s="1">
        <v>43472</v>
      </c>
      <c r="B65" t="s">
        <v>210</v>
      </c>
      <c r="C65" t="s">
        <v>138</v>
      </c>
      <c r="D65" t="s">
        <v>126</v>
      </c>
      <c r="E65" t="s">
        <v>134</v>
      </c>
      <c r="F65" s="2">
        <v>160</v>
      </c>
    </row>
    <row r="66" spans="1:6">
      <c r="A66" s="1">
        <v>43472</v>
      </c>
      <c r="B66" t="s">
        <v>211</v>
      </c>
      <c r="C66" t="s">
        <v>125</v>
      </c>
      <c r="D66" t="s">
        <v>159</v>
      </c>
      <c r="E66" t="s">
        <v>153</v>
      </c>
      <c r="F66" s="2">
        <v>150</v>
      </c>
    </row>
    <row r="67" spans="1:6">
      <c r="A67" s="1">
        <v>43472</v>
      </c>
      <c r="B67" t="s">
        <v>212</v>
      </c>
      <c r="C67" t="s">
        <v>167</v>
      </c>
      <c r="D67" t="s">
        <v>130</v>
      </c>
      <c r="E67" t="s">
        <v>153</v>
      </c>
      <c r="F67" s="2">
        <v>100</v>
      </c>
    </row>
    <row r="68" spans="1:6">
      <c r="A68" s="1">
        <v>43472</v>
      </c>
      <c r="B68" t="s">
        <v>213</v>
      </c>
      <c r="C68" t="s">
        <v>138</v>
      </c>
      <c r="D68" t="s">
        <v>130</v>
      </c>
      <c r="E68" t="s">
        <v>134</v>
      </c>
      <c r="F68" s="2">
        <v>100</v>
      </c>
    </row>
    <row r="69" spans="1:6">
      <c r="A69" s="1">
        <v>43472</v>
      </c>
      <c r="B69" t="s">
        <v>214</v>
      </c>
      <c r="C69" t="s">
        <v>136</v>
      </c>
      <c r="D69" t="s">
        <v>146</v>
      </c>
      <c r="E69" t="s">
        <v>127</v>
      </c>
      <c r="F69" s="2">
        <v>50</v>
      </c>
    </row>
    <row r="70" spans="1:6">
      <c r="A70" s="1">
        <v>43472</v>
      </c>
      <c r="B70" t="s">
        <v>215</v>
      </c>
      <c r="C70" t="s">
        <v>182</v>
      </c>
      <c r="D70" t="s">
        <v>146</v>
      </c>
      <c r="E70" t="s">
        <v>131</v>
      </c>
      <c r="F70" s="2">
        <v>50</v>
      </c>
    </row>
    <row r="71" spans="1:6">
      <c r="A71" s="1">
        <v>43473</v>
      </c>
      <c r="B71" t="s">
        <v>216</v>
      </c>
      <c r="C71" t="s">
        <v>136</v>
      </c>
      <c r="D71" t="s">
        <v>139</v>
      </c>
      <c r="E71" t="s">
        <v>131</v>
      </c>
      <c r="F71" s="2">
        <v>80</v>
      </c>
    </row>
    <row r="72" spans="1:6">
      <c r="A72" s="1">
        <v>43473</v>
      </c>
      <c r="B72" t="s">
        <v>217</v>
      </c>
      <c r="C72" t="s">
        <v>187</v>
      </c>
      <c r="D72" t="s">
        <v>141</v>
      </c>
      <c r="E72" t="s">
        <v>127</v>
      </c>
      <c r="F72" s="2">
        <v>180</v>
      </c>
    </row>
    <row r="73" spans="1:6">
      <c r="A73" s="1">
        <v>43473</v>
      </c>
      <c r="B73" t="s">
        <v>218</v>
      </c>
      <c r="C73" t="s">
        <v>189</v>
      </c>
      <c r="D73" t="s">
        <v>120</v>
      </c>
      <c r="E73" t="s">
        <v>153</v>
      </c>
      <c r="F73" s="2">
        <v>90</v>
      </c>
    </row>
    <row r="74" spans="1:6">
      <c r="A74" s="1">
        <v>43473</v>
      </c>
      <c r="B74" t="s">
        <v>219</v>
      </c>
      <c r="C74" t="s">
        <v>123</v>
      </c>
      <c r="D74" t="s">
        <v>130</v>
      </c>
      <c r="E74" t="s">
        <v>131</v>
      </c>
      <c r="F74" s="2">
        <v>100</v>
      </c>
    </row>
    <row r="75" spans="1:6">
      <c r="A75" s="1">
        <v>43473</v>
      </c>
      <c r="B75" t="s">
        <v>220</v>
      </c>
      <c r="C75" t="s">
        <v>136</v>
      </c>
      <c r="D75" t="s">
        <v>126</v>
      </c>
      <c r="E75" t="s">
        <v>127</v>
      </c>
      <c r="F75" s="2">
        <v>160</v>
      </c>
    </row>
    <row r="76" spans="1:6">
      <c r="A76" s="1">
        <v>43473</v>
      </c>
      <c r="B76" t="s">
        <v>221</v>
      </c>
      <c r="C76" t="s">
        <v>148</v>
      </c>
      <c r="D76" t="s">
        <v>159</v>
      </c>
      <c r="E76" t="s">
        <v>134</v>
      </c>
      <c r="F76" s="2">
        <v>150</v>
      </c>
    </row>
    <row r="77" spans="1:6">
      <c r="A77" s="1">
        <v>43473</v>
      </c>
      <c r="B77" t="s">
        <v>222</v>
      </c>
      <c r="C77" t="s">
        <v>223</v>
      </c>
      <c r="D77" t="s">
        <v>120</v>
      </c>
      <c r="E77" t="s">
        <v>121</v>
      </c>
      <c r="F77" s="2">
        <v>90</v>
      </c>
    </row>
    <row r="78" spans="1:6">
      <c r="A78" s="1">
        <v>43473</v>
      </c>
      <c r="B78" t="s">
        <v>224</v>
      </c>
      <c r="C78" t="s">
        <v>157</v>
      </c>
      <c r="D78" t="s">
        <v>133</v>
      </c>
      <c r="E78" t="s">
        <v>121</v>
      </c>
      <c r="F78" s="2">
        <v>30</v>
      </c>
    </row>
    <row r="79" spans="1:6">
      <c r="A79" s="1">
        <v>43473</v>
      </c>
      <c r="B79" t="s">
        <v>225</v>
      </c>
      <c r="C79" t="s">
        <v>136</v>
      </c>
      <c r="D79" t="s">
        <v>126</v>
      </c>
      <c r="E79" t="s">
        <v>127</v>
      </c>
      <c r="F79" s="2">
        <v>160</v>
      </c>
    </row>
    <row r="80" spans="1:6">
      <c r="A80" s="1">
        <v>43473</v>
      </c>
      <c r="B80" t="s">
        <v>226</v>
      </c>
      <c r="C80" t="s">
        <v>157</v>
      </c>
      <c r="D80" t="s">
        <v>146</v>
      </c>
      <c r="E80" t="s">
        <v>131</v>
      </c>
      <c r="F80" s="2">
        <v>50</v>
      </c>
    </row>
    <row r="81" spans="1:6">
      <c r="A81" s="1">
        <v>43473</v>
      </c>
      <c r="B81" t="s">
        <v>227</v>
      </c>
      <c r="C81" t="s">
        <v>152</v>
      </c>
      <c r="D81" t="s">
        <v>141</v>
      </c>
      <c r="E81" t="s">
        <v>153</v>
      </c>
      <c r="F81" s="2">
        <v>180</v>
      </c>
    </row>
    <row r="82" spans="1:6">
      <c r="A82" s="1">
        <v>43473</v>
      </c>
      <c r="B82" t="s">
        <v>228</v>
      </c>
      <c r="C82" t="s">
        <v>157</v>
      </c>
      <c r="D82" t="s">
        <v>141</v>
      </c>
      <c r="E82" t="s">
        <v>134</v>
      </c>
      <c r="F82" s="2">
        <v>180</v>
      </c>
    </row>
    <row r="83" spans="1:6">
      <c r="A83" s="1">
        <v>43474</v>
      </c>
      <c r="B83" t="s">
        <v>229</v>
      </c>
      <c r="C83" t="s">
        <v>157</v>
      </c>
      <c r="D83" t="s">
        <v>133</v>
      </c>
      <c r="E83" t="s">
        <v>121</v>
      </c>
      <c r="F83" s="2">
        <v>30</v>
      </c>
    </row>
    <row r="84" spans="1:6">
      <c r="A84" s="1">
        <v>43474</v>
      </c>
      <c r="B84" t="s">
        <v>230</v>
      </c>
      <c r="C84" t="s">
        <v>119</v>
      </c>
      <c r="D84" t="s">
        <v>139</v>
      </c>
      <c r="E84" t="s">
        <v>131</v>
      </c>
      <c r="F84" s="2">
        <v>80</v>
      </c>
    </row>
    <row r="85" spans="1:6">
      <c r="A85" s="1">
        <v>43474</v>
      </c>
      <c r="B85" t="s">
        <v>231</v>
      </c>
      <c r="C85" t="s">
        <v>125</v>
      </c>
      <c r="D85" t="s">
        <v>120</v>
      </c>
      <c r="E85" t="s">
        <v>121</v>
      </c>
      <c r="F85" s="2">
        <v>90</v>
      </c>
    </row>
    <row r="86" spans="1:6">
      <c r="A86" s="1">
        <v>43474</v>
      </c>
      <c r="B86" t="s">
        <v>232</v>
      </c>
      <c r="C86" t="s">
        <v>152</v>
      </c>
      <c r="D86" t="s">
        <v>159</v>
      </c>
      <c r="E86" t="s">
        <v>134</v>
      </c>
      <c r="F86" s="2">
        <v>150</v>
      </c>
    </row>
    <row r="87" spans="1:6">
      <c r="A87" s="1">
        <v>43474</v>
      </c>
      <c r="B87" t="s">
        <v>233</v>
      </c>
      <c r="C87" t="s">
        <v>223</v>
      </c>
      <c r="D87" t="s">
        <v>141</v>
      </c>
      <c r="E87" t="s">
        <v>121</v>
      </c>
      <c r="F87" s="2">
        <v>180</v>
      </c>
    </row>
    <row r="88" spans="1:6">
      <c r="A88" s="1">
        <v>43474</v>
      </c>
      <c r="B88" t="s">
        <v>234</v>
      </c>
      <c r="C88" t="s">
        <v>152</v>
      </c>
      <c r="D88" t="s">
        <v>126</v>
      </c>
      <c r="E88" t="s">
        <v>121</v>
      </c>
      <c r="F88" s="2">
        <v>160</v>
      </c>
    </row>
    <row r="89" spans="1:6">
      <c r="A89" s="1">
        <v>43474</v>
      </c>
      <c r="B89" t="s">
        <v>235</v>
      </c>
      <c r="C89" t="s">
        <v>138</v>
      </c>
      <c r="D89" t="s">
        <v>146</v>
      </c>
      <c r="E89" t="s">
        <v>121</v>
      </c>
      <c r="F89" s="2">
        <v>50</v>
      </c>
    </row>
    <row r="90" spans="1:6">
      <c r="A90" s="1">
        <v>43474</v>
      </c>
      <c r="B90" t="s">
        <v>236</v>
      </c>
      <c r="C90" t="s">
        <v>157</v>
      </c>
      <c r="D90" t="s">
        <v>126</v>
      </c>
      <c r="E90" t="s">
        <v>131</v>
      </c>
      <c r="F90" s="2">
        <v>160</v>
      </c>
    </row>
    <row r="91" spans="1:6">
      <c r="A91" s="1">
        <v>43474</v>
      </c>
      <c r="B91" t="s">
        <v>237</v>
      </c>
      <c r="C91" t="s">
        <v>125</v>
      </c>
      <c r="D91" t="s">
        <v>141</v>
      </c>
      <c r="E91" t="s">
        <v>153</v>
      </c>
      <c r="F91" s="2">
        <v>180</v>
      </c>
    </row>
    <row r="92" spans="1:6">
      <c r="A92" s="1">
        <v>43475</v>
      </c>
      <c r="B92" t="s">
        <v>238</v>
      </c>
      <c r="C92" t="s">
        <v>167</v>
      </c>
      <c r="D92" t="s">
        <v>159</v>
      </c>
      <c r="E92" t="s">
        <v>134</v>
      </c>
      <c r="F92" s="2">
        <v>150</v>
      </c>
    </row>
    <row r="93" spans="1:6">
      <c r="A93" s="1">
        <v>43475</v>
      </c>
      <c r="B93" t="s">
        <v>239</v>
      </c>
      <c r="C93" t="s">
        <v>143</v>
      </c>
      <c r="D93" t="s">
        <v>159</v>
      </c>
      <c r="E93" t="s">
        <v>153</v>
      </c>
      <c r="F93" s="2">
        <v>150</v>
      </c>
    </row>
    <row r="94" spans="1:6">
      <c r="A94" s="1">
        <v>43475</v>
      </c>
      <c r="B94" t="s">
        <v>240</v>
      </c>
      <c r="C94" t="s">
        <v>119</v>
      </c>
      <c r="D94" t="s">
        <v>146</v>
      </c>
      <c r="E94" t="s">
        <v>134</v>
      </c>
      <c r="F94" s="2">
        <v>50</v>
      </c>
    </row>
    <row r="95" spans="1:6">
      <c r="A95" s="1">
        <v>43475</v>
      </c>
      <c r="B95" t="s">
        <v>241</v>
      </c>
      <c r="C95" t="s">
        <v>157</v>
      </c>
      <c r="D95" t="s">
        <v>130</v>
      </c>
      <c r="E95" t="s">
        <v>134</v>
      </c>
      <c r="F95" s="2">
        <v>100</v>
      </c>
    </row>
    <row r="96" spans="1:6">
      <c r="A96" s="1">
        <v>43475</v>
      </c>
      <c r="B96" t="s">
        <v>242</v>
      </c>
      <c r="C96" t="s">
        <v>152</v>
      </c>
      <c r="D96" t="s">
        <v>126</v>
      </c>
      <c r="E96" t="s">
        <v>131</v>
      </c>
      <c r="F96" s="2">
        <v>160</v>
      </c>
    </row>
    <row r="97" spans="1:6">
      <c r="A97" s="1">
        <v>43475</v>
      </c>
      <c r="B97" t="s">
        <v>243</v>
      </c>
      <c r="C97" t="s">
        <v>136</v>
      </c>
      <c r="D97" t="s">
        <v>159</v>
      </c>
      <c r="E97" t="s">
        <v>121</v>
      </c>
      <c r="F97" s="2">
        <v>150</v>
      </c>
    </row>
    <row r="98" spans="1:6">
      <c r="A98" s="1">
        <v>43475</v>
      </c>
      <c r="B98" t="s">
        <v>244</v>
      </c>
      <c r="C98" t="s">
        <v>119</v>
      </c>
      <c r="D98" t="s">
        <v>130</v>
      </c>
      <c r="E98" t="s">
        <v>127</v>
      </c>
      <c r="F98" s="2">
        <v>100</v>
      </c>
    </row>
    <row r="99" spans="1:6">
      <c r="A99" s="1">
        <v>43475</v>
      </c>
      <c r="B99" t="s">
        <v>245</v>
      </c>
      <c r="C99" t="s">
        <v>167</v>
      </c>
      <c r="D99" t="s">
        <v>146</v>
      </c>
      <c r="E99" t="s">
        <v>134</v>
      </c>
      <c r="F99" s="2">
        <v>50</v>
      </c>
    </row>
    <row r="100" spans="1:6">
      <c r="A100" s="1">
        <v>43475</v>
      </c>
      <c r="B100" t="s">
        <v>246</v>
      </c>
      <c r="C100" t="s">
        <v>157</v>
      </c>
      <c r="D100" t="s">
        <v>120</v>
      </c>
      <c r="E100" t="s">
        <v>127</v>
      </c>
      <c r="F100" s="2">
        <v>90</v>
      </c>
    </row>
    <row r="101" spans="1:6">
      <c r="A101" s="1">
        <v>43476</v>
      </c>
      <c r="B101" t="s">
        <v>247</v>
      </c>
      <c r="C101" t="s">
        <v>187</v>
      </c>
      <c r="D101" t="s">
        <v>133</v>
      </c>
      <c r="E101" t="s">
        <v>153</v>
      </c>
      <c r="F101" s="2">
        <v>30</v>
      </c>
    </row>
    <row r="102" spans="1:6">
      <c r="A102" s="1">
        <v>43476</v>
      </c>
      <c r="B102" t="s">
        <v>248</v>
      </c>
      <c r="C102" t="s">
        <v>167</v>
      </c>
      <c r="D102" t="s">
        <v>159</v>
      </c>
      <c r="E102" t="s">
        <v>121</v>
      </c>
      <c r="F102" s="2">
        <v>150</v>
      </c>
    </row>
    <row r="103" spans="1:6">
      <c r="A103" s="1">
        <v>43476</v>
      </c>
      <c r="B103" t="s">
        <v>249</v>
      </c>
      <c r="C103" t="s">
        <v>167</v>
      </c>
      <c r="D103" t="s">
        <v>159</v>
      </c>
      <c r="E103" t="s">
        <v>121</v>
      </c>
      <c r="F103" s="2">
        <v>150</v>
      </c>
    </row>
    <row r="104" spans="1:6">
      <c r="A104" s="1">
        <v>43476</v>
      </c>
      <c r="B104" t="s">
        <v>250</v>
      </c>
      <c r="C104" t="s">
        <v>182</v>
      </c>
      <c r="D104" t="s">
        <v>139</v>
      </c>
      <c r="E104" t="s">
        <v>153</v>
      </c>
      <c r="F104" s="2">
        <v>80</v>
      </c>
    </row>
    <row r="105" spans="1:6">
      <c r="A105" s="1">
        <v>43476</v>
      </c>
      <c r="B105" t="s">
        <v>251</v>
      </c>
      <c r="C105" t="s">
        <v>182</v>
      </c>
      <c r="D105" t="s">
        <v>130</v>
      </c>
      <c r="E105" t="s">
        <v>134</v>
      </c>
      <c r="F105" s="2">
        <v>100</v>
      </c>
    </row>
    <row r="106" spans="1:6">
      <c r="A106" s="1">
        <v>43476</v>
      </c>
      <c r="B106" t="s">
        <v>252</v>
      </c>
      <c r="C106" t="s">
        <v>138</v>
      </c>
      <c r="D106" t="s">
        <v>130</v>
      </c>
      <c r="E106" t="s">
        <v>131</v>
      </c>
      <c r="F106" s="2">
        <v>100</v>
      </c>
    </row>
    <row r="107" spans="1:6">
      <c r="A107" s="1">
        <v>43476</v>
      </c>
      <c r="B107" t="s">
        <v>253</v>
      </c>
      <c r="C107" t="s">
        <v>223</v>
      </c>
      <c r="D107" t="s">
        <v>139</v>
      </c>
      <c r="E107" t="s">
        <v>134</v>
      </c>
      <c r="F107" s="2">
        <v>80</v>
      </c>
    </row>
    <row r="108" spans="1:6">
      <c r="A108" s="1">
        <v>43476</v>
      </c>
      <c r="B108" t="s">
        <v>254</v>
      </c>
      <c r="C108" t="s">
        <v>138</v>
      </c>
      <c r="D108" t="s">
        <v>130</v>
      </c>
      <c r="E108" t="s">
        <v>131</v>
      </c>
      <c r="F108" s="2">
        <v>100</v>
      </c>
    </row>
    <row r="109" spans="1:6">
      <c r="A109" s="1">
        <v>43476</v>
      </c>
      <c r="B109" t="s">
        <v>255</v>
      </c>
      <c r="C109" t="s">
        <v>143</v>
      </c>
      <c r="D109" t="s">
        <v>141</v>
      </c>
      <c r="E109" t="s">
        <v>127</v>
      </c>
      <c r="F109" s="2">
        <v>180</v>
      </c>
    </row>
    <row r="110" spans="1:6">
      <c r="A110" s="1">
        <v>43476</v>
      </c>
      <c r="B110" t="s">
        <v>256</v>
      </c>
      <c r="C110" t="s">
        <v>223</v>
      </c>
      <c r="D110" t="s">
        <v>139</v>
      </c>
      <c r="E110" t="s">
        <v>134</v>
      </c>
      <c r="F110" s="2">
        <v>80</v>
      </c>
    </row>
    <row r="111" spans="1:6">
      <c r="A111" s="1">
        <v>43476</v>
      </c>
      <c r="B111" t="s">
        <v>257</v>
      </c>
      <c r="C111" t="s">
        <v>123</v>
      </c>
      <c r="D111" t="s">
        <v>130</v>
      </c>
      <c r="E111" t="s">
        <v>134</v>
      </c>
      <c r="F111" s="2">
        <v>100</v>
      </c>
    </row>
    <row r="112" spans="1:6">
      <c r="A112" s="1">
        <v>43476</v>
      </c>
      <c r="B112" t="s">
        <v>258</v>
      </c>
      <c r="C112" t="s">
        <v>187</v>
      </c>
      <c r="D112" t="s">
        <v>139</v>
      </c>
      <c r="E112" t="s">
        <v>121</v>
      </c>
      <c r="F112" s="2">
        <v>80</v>
      </c>
    </row>
    <row r="113" spans="1:6">
      <c r="A113" s="1">
        <v>43476</v>
      </c>
      <c r="B113" t="s">
        <v>259</v>
      </c>
      <c r="C113" t="s">
        <v>187</v>
      </c>
      <c r="D113" t="s">
        <v>141</v>
      </c>
      <c r="E113" t="s">
        <v>127</v>
      </c>
      <c r="F113" s="2">
        <v>180</v>
      </c>
    </row>
    <row r="114" spans="1:6">
      <c r="A114" s="1">
        <v>43476</v>
      </c>
      <c r="B114" t="s">
        <v>260</v>
      </c>
      <c r="C114" t="s">
        <v>138</v>
      </c>
      <c r="D114" t="s">
        <v>126</v>
      </c>
      <c r="E114" t="s">
        <v>153</v>
      </c>
      <c r="F114" s="2">
        <v>160</v>
      </c>
    </row>
    <row r="115" spans="1:6">
      <c r="A115" s="1">
        <v>43477</v>
      </c>
      <c r="B115" t="s">
        <v>261</v>
      </c>
      <c r="C115" t="s">
        <v>145</v>
      </c>
      <c r="D115" t="s">
        <v>120</v>
      </c>
      <c r="E115" t="s">
        <v>121</v>
      </c>
      <c r="F115" s="2">
        <v>90</v>
      </c>
    </row>
    <row r="116" spans="1:6">
      <c r="A116" s="1">
        <v>43477</v>
      </c>
      <c r="B116" t="s">
        <v>262</v>
      </c>
      <c r="C116" t="s">
        <v>157</v>
      </c>
      <c r="D116" t="s">
        <v>159</v>
      </c>
      <c r="E116" t="s">
        <v>134</v>
      </c>
      <c r="F116" s="2">
        <v>150</v>
      </c>
    </row>
    <row r="117" spans="1:6">
      <c r="A117" s="1">
        <v>43477</v>
      </c>
      <c r="B117" t="s">
        <v>263</v>
      </c>
      <c r="C117" t="s">
        <v>167</v>
      </c>
      <c r="D117" t="s">
        <v>139</v>
      </c>
      <c r="E117" t="s">
        <v>121</v>
      </c>
      <c r="F117" s="2">
        <v>80</v>
      </c>
    </row>
    <row r="118" spans="1:6">
      <c r="A118" s="1">
        <v>43477</v>
      </c>
      <c r="B118" t="s">
        <v>264</v>
      </c>
      <c r="C118" t="s">
        <v>223</v>
      </c>
      <c r="D118" t="s">
        <v>146</v>
      </c>
      <c r="E118" t="s">
        <v>134</v>
      </c>
      <c r="F118" s="2">
        <v>50</v>
      </c>
    </row>
    <row r="119" spans="1:6">
      <c r="A119" s="1">
        <v>43477</v>
      </c>
      <c r="B119" t="s">
        <v>265</v>
      </c>
      <c r="C119" t="s">
        <v>119</v>
      </c>
      <c r="D119" t="s">
        <v>130</v>
      </c>
      <c r="E119" t="s">
        <v>127</v>
      </c>
      <c r="F119" s="2">
        <v>100</v>
      </c>
    </row>
    <row r="120" spans="1:6">
      <c r="A120" s="1">
        <v>43477</v>
      </c>
      <c r="B120" t="s">
        <v>266</v>
      </c>
      <c r="C120" t="s">
        <v>125</v>
      </c>
      <c r="D120" t="s">
        <v>126</v>
      </c>
      <c r="E120" t="s">
        <v>121</v>
      </c>
      <c r="F120" s="2">
        <v>160</v>
      </c>
    </row>
    <row r="121" spans="1:6">
      <c r="A121" s="1">
        <v>43477</v>
      </c>
      <c r="B121" t="s">
        <v>267</v>
      </c>
      <c r="C121" t="s">
        <v>157</v>
      </c>
      <c r="D121" t="s">
        <v>159</v>
      </c>
      <c r="E121" t="s">
        <v>127</v>
      </c>
      <c r="F121" s="2">
        <v>150</v>
      </c>
    </row>
    <row r="122" spans="1:6">
      <c r="A122" s="1">
        <v>43477</v>
      </c>
      <c r="B122" t="s">
        <v>268</v>
      </c>
      <c r="C122" t="s">
        <v>143</v>
      </c>
      <c r="D122" t="s">
        <v>120</v>
      </c>
      <c r="E122" t="s">
        <v>134</v>
      </c>
      <c r="F122" s="2">
        <v>90</v>
      </c>
    </row>
    <row r="123" spans="1:6">
      <c r="A123" s="1">
        <v>43477</v>
      </c>
      <c r="B123" t="s">
        <v>269</v>
      </c>
      <c r="C123" t="s">
        <v>136</v>
      </c>
      <c r="D123" t="s">
        <v>126</v>
      </c>
      <c r="E123" t="s">
        <v>153</v>
      </c>
      <c r="F123" s="2">
        <v>160</v>
      </c>
    </row>
    <row r="124" spans="1:6">
      <c r="A124" s="1">
        <v>43477</v>
      </c>
      <c r="B124" t="s">
        <v>270</v>
      </c>
      <c r="C124" t="s">
        <v>136</v>
      </c>
      <c r="D124" t="s">
        <v>130</v>
      </c>
      <c r="E124" t="s">
        <v>134</v>
      </c>
      <c r="F124" s="2">
        <v>100</v>
      </c>
    </row>
    <row r="125" spans="1:6">
      <c r="A125" s="1">
        <v>43477</v>
      </c>
      <c r="B125" t="s">
        <v>271</v>
      </c>
      <c r="C125" t="s">
        <v>157</v>
      </c>
      <c r="D125" t="s">
        <v>146</v>
      </c>
      <c r="E125" t="s">
        <v>131</v>
      </c>
      <c r="F125" s="2">
        <v>50</v>
      </c>
    </row>
    <row r="126" spans="1:6">
      <c r="A126" s="1">
        <v>43478</v>
      </c>
      <c r="B126" t="s">
        <v>272</v>
      </c>
      <c r="C126" t="s">
        <v>148</v>
      </c>
      <c r="D126" t="s">
        <v>130</v>
      </c>
      <c r="E126" t="s">
        <v>131</v>
      </c>
      <c r="F126" s="2">
        <v>100</v>
      </c>
    </row>
    <row r="127" spans="1:6">
      <c r="A127" s="1">
        <v>43478</v>
      </c>
      <c r="B127" t="s">
        <v>273</v>
      </c>
      <c r="C127" t="s">
        <v>157</v>
      </c>
      <c r="D127" t="s">
        <v>139</v>
      </c>
      <c r="E127" t="s">
        <v>121</v>
      </c>
      <c r="F127" s="2">
        <v>80</v>
      </c>
    </row>
    <row r="128" spans="1:6">
      <c r="A128" s="1">
        <v>43478</v>
      </c>
      <c r="B128" t="s">
        <v>274</v>
      </c>
      <c r="C128" t="s">
        <v>129</v>
      </c>
      <c r="D128" t="s">
        <v>159</v>
      </c>
      <c r="E128" t="s">
        <v>127</v>
      </c>
      <c r="F128" s="2">
        <v>150</v>
      </c>
    </row>
    <row r="129" spans="1:6">
      <c r="A129" s="1">
        <v>43478</v>
      </c>
      <c r="B129" t="s">
        <v>275</v>
      </c>
      <c r="C129" t="s">
        <v>125</v>
      </c>
      <c r="D129" t="s">
        <v>120</v>
      </c>
      <c r="E129" t="s">
        <v>131</v>
      </c>
      <c r="F129" s="2">
        <v>90</v>
      </c>
    </row>
    <row r="130" spans="1:6">
      <c r="A130" s="1">
        <v>43478</v>
      </c>
      <c r="B130" t="s">
        <v>276</v>
      </c>
      <c r="C130" t="s">
        <v>223</v>
      </c>
      <c r="D130" t="s">
        <v>159</v>
      </c>
      <c r="E130" t="s">
        <v>121</v>
      </c>
      <c r="F130" s="2">
        <v>150</v>
      </c>
    </row>
    <row r="131" spans="1:6">
      <c r="A131" s="1">
        <v>43478</v>
      </c>
      <c r="B131" t="s">
        <v>277</v>
      </c>
      <c r="C131" t="s">
        <v>164</v>
      </c>
      <c r="D131" t="s">
        <v>120</v>
      </c>
      <c r="E131" t="s">
        <v>134</v>
      </c>
      <c r="F131" s="2">
        <v>90</v>
      </c>
    </row>
    <row r="132" spans="1:6">
      <c r="A132" s="1">
        <v>43478</v>
      </c>
      <c r="B132" t="s">
        <v>278</v>
      </c>
      <c r="C132" t="s">
        <v>136</v>
      </c>
      <c r="D132" t="s">
        <v>159</v>
      </c>
      <c r="E132" t="s">
        <v>153</v>
      </c>
      <c r="F132" s="2">
        <v>150</v>
      </c>
    </row>
    <row r="133" spans="1:6">
      <c r="A133" s="1">
        <v>43478</v>
      </c>
      <c r="B133" t="s">
        <v>279</v>
      </c>
      <c r="C133" t="s">
        <v>164</v>
      </c>
      <c r="D133" t="s">
        <v>130</v>
      </c>
      <c r="E133" t="s">
        <v>127</v>
      </c>
      <c r="F133" s="2">
        <v>100</v>
      </c>
    </row>
    <row r="134" spans="1:6">
      <c r="A134" s="1">
        <v>43478</v>
      </c>
      <c r="B134" t="s">
        <v>280</v>
      </c>
      <c r="C134" t="s">
        <v>164</v>
      </c>
      <c r="D134" t="s">
        <v>120</v>
      </c>
      <c r="E134" t="s">
        <v>121</v>
      </c>
      <c r="F134" s="2">
        <v>90</v>
      </c>
    </row>
    <row r="135" spans="1:6">
      <c r="A135" s="1">
        <v>43478</v>
      </c>
      <c r="B135" t="s">
        <v>281</v>
      </c>
      <c r="C135" t="s">
        <v>187</v>
      </c>
      <c r="D135" t="s">
        <v>141</v>
      </c>
      <c r="E135" t="s">
        <v>134</v>
      </c>
      <c r="F135" s="2">
        <v>180</v>
      </c>
    </row>
    <row r="136" spans="1:6">
      <c r="A136" s="1">
        <v>43478</v>
      </c>
      <c r="B136" t="s">
        <v>282</v>
      </c>
      <c r="C136" t="s">
        <v>119</v>
      </c>
      <c r="D136" t="s">
        <v>133</v>
      </c>
      <c r="E136" t="s">
        <v>131</v>
      </c>
      <c r="F136" s="2">
        <v>30</v>
      </c>
    </row>
    <row r="137" spans="1:6">
      <c r="A137" s="1">
        <v>43479</v>
      </c>
      <c r="B137" t="s">
        <v>283</v>
      </c>
      <c r="C137" t="s">
        <v>125</v>
      </c>
      <c r="D137" t="s">
        <v>159</v>
      </c>
      <c r="E137" t="s">
        <v>134</v>
      </c>
      <c r="F137" s="2">
        <v>150</v>
      </c>
    </row>
    <row r="138" spans="1:6">
      <c r="A138" s="1">
        <v>43479</v>
      </c>
      <c r="B138" t="s">
        <v>284</v>
      </c>
      <c r="C138" t="s">
        <v>143</v>
      </c>
      <c r="D138" t="s">
        <v>159</v>
      </c>
      <c r="E138" t="s">
        <v>127</v>
      </c>
      <c r="F138" s="2">
        <v>150</v>
      </c>
    </row>
    <row r="139" spans="1:6">
      <c r="A139" s="1">
        <v>43479</v>
      </c>
      <c r="B139" t="s">
        <v>285</v>
      </c>
      <c r="C139" t="s">
        <v>167</v>
      </c>
      <c r="D139" t="s">
        <v>139</v>
      </c>
      <c r="E139" t="s">
        <v>134</v>
      </c>
      <c r="F139" s="2">
        <v>80</v>
      </c>
    </row>
    <row r="140" spans="1:6">
      <c r="A140" s="1">
        <v>43479</v>
      </c>
      <c r="B140" t="s">
        <v>286</v>
      </c>
      <c r="C140" t="s">
        <v>129</v>
      </c>
      <c r="D140" t="s">
        <v>146</v>
      </c>
      <c r="E140" t="s">
        <v>153</v>
      </c>
      <c r="F140" s="2">
        <v>50</v>
      </c>
    </row>
    <row r="141" spans="1:6">
      <c r="A141" s="1">
        <v>43479</v>
      </c>
      <c r="B141" t="s">
        <v>287</v>
      </c>
      <c r="C141" t="s">
        <v>138</v>
      </c>
      <c r="D141" t="s">
        <v>146</v>
      </c>
      <c r="E141" t="s">
        <v>153</v>
      </c>
      <c r="F141" s="2">
        <v>50</v>
      </c>
    </row>
    <row r="142" spans="1:6">
      <c r="A142" s="1">
        <v>43479</v>
      </c>
      <c r="B142" t="s">
        <v>288</v>
      </c>
      <c r="C142" t="s">
        <v>152</v>
      </c>
      <c r="D142" t="s">
        <v>133</v>
      </c>
      <c r="E142" t="s">
        <v>153</v>
      </c>
      <c r="F142" s="2">
        <v>30</v>
      </c>
    </row>
    <row r="143" spans="1:6">
      <c r="A143" s="1">
        <v>43479</v>
      </c>
      <c r="B143" t="s">
        <v>289</v>
      </c>
      <c r="C143" t="s">
        <v>148</v>
      </c>
      <c r="D143" t="s">
        <v>146</v>
      </c>
      <c r="E143" t="s">
        <v>121</v>
      </c>
      <c r="F143" s="2">
        <v>50</v>
      </c>
    </row>
    <row r="144" spans="1:6">
      <c r="A144" s="1">
        <v>43479</v>
      </c>
      <c r="B144" t="s">
        <v>290</v>
      </c>
      <c r="C144" t="s">
        <v>143</v>
      </c>
      <c r="D144" t="s">
        <v>126</v>
      </c>
      <c r="E144" t="s">
        <v>153</v>
      </c>
      <c r="F144" s="2">
        <v>160</v>
      </c>
    </row>
    <row r="145" spans="1:6">
      <c r="A145" s="1">
        <v>43479</v>
      </c>
      <c r="B145" t="s">
        <v>291</v>
      </c>
      <c r="C145" t="s">
        <v>167</v>
      </c>
      <c r="D145" t="s">
        <v>130</v>
      </c>
      <c r="E145" t="s">
        <v>131</v>
      </c>
      <c r="F145" s="2">
        <v>100</v>
      </c>
    </row>
    <row r="146" spans="1:6">
      <c r="A146" s="1">
        <v>43479</v>
      </c>
      <c r="B146" t="s">
        <v>292</v>
      </c>
      <c r="C146" t="s">
        <v>182</v>
      </c>
      <c r="D146" t="s">
        <v>141</v>
      </c>
      <c r="E146" t="s">
        <v>134</v>
      </c>
      <c r="F146" s="2">
        <v>180</v>
      </c>
    </row>
    <row r="147" spans="1:6">
      <c r="A147" s="1">
        <v>43480</v>
      </c>
      <c r="B147" t="s">
        <v>293</v>
      </c>
      <c r="C147" t="s">
        <v>152</v>
      </c>
      <c r="D147" t="s">
        <v>159</v>
      </c>
      <c r="E147" t="s">
        <v>127</v>
      </c>
      <c r="F147" s="2">
        <v>150</v>
      </c>
    </row>
    <row r="148" spans="1:6">
      <c r="A148" s="1">
        <v>43480</v>
      </c>
      <c r="B148" t="s">
        <v>294</v>
      </c>
      <c r="C148" t="s">
        <v>148</v>
      </c>
      <c r="D148" t="s">
        <v>146</v>
      </c>
      <c r="E148" t="s">
        <v>131</v>
      </c>
      <c r="F148" s="2">
        <v>50</v>
      </c>
    </row>
    <row r="149" spans="1:6">
      <c r="A149" s="1">
        <v>43480</v>
      </c>
      <c r="B149" t="s">
        <v>295</v>
      </c>
      <c r="C149" t="s">
        <v>138</v>
      </c>
      <c r="D149" t="s">
        <v>141</v>
      </c>
      <c r="E149" t="s">
        <v>127</v>
      </c>
      <c r="F149" s="2">
        <v>180</v>
      </c>
    </row>
    <row r="150" spans="1:6">
      <c r="A150" s="1">
        <v>43480</v>
      </c>
      <c r="B150" t="s">
        <v>296</v>
      </c>
      <c r="C150" t="s">
        <v>157</v>
      </c>
      <c r="D150" t="s">
        <v>130</v>
      </c>
      <c r="E150" t="s">
        <v>121</v>
      </c>
      <c r="F150" s="2">
        <v>100</v>
      </c>
    </row>
    <row r="151" spans="1:6">
      <c r="A151" s="1">
        <v>43480</v>
      </c>
      <c r="B151" t="s">
        <v>297</v>
      </c>
      <c r="C151" t="s">
        <v>167</v>
      </c>
      <c r="D151" t="s">
        <v>126</v>
      </c>
      <c r="E151" t="s">
        <v>134</v>
      </c>
      <c r="F151" s="2">
        <v>160</v>
      </c>
    </row>
    <row r="152" spans="1:6">
      <c r="A152" s="1">
        <v>43480</v>
      </c>
      <c r="B152" t="s">
        <v>298</v>
      </c>
      <c r="C152" t="s">
        <v>182</v>
      </c>
      <c r="D152" t="s">
        <v>133</v>
      </c>
      <c r="E152" t="s">
        <v>134</v>
      </c>
      <c r="F152" s="2">
        <v>30</v>
      </c>
    </row>
    <row r="153" spans="1:6">
      <c r="A153" s="1">
        <v>43480</v>
      </c>
      <c r="B153" t="s">
        <v>299</v>
      </c>
      <c r="C153" t="s">
        <v>223</v>
      </c>
      <c r="D153" t="s">
        <v>120</v>
      </c>
      <c r="E153" t="s">
        <v>134</v>
      </c>
      <c r="F153" s="2">
        <v>90</v>
      </c>
    </row>
    <row r="154" spans="1:6">
      <c r="A154" s="1">
        <v>43480</v>
      </c>
      <c r="B154" t="s">
        <v>300</v>
      </c>
      <c r="C154" t="s">
        <v>129</v>
      </c>
      <c r="D154" t="s">
        <v>139</v>
      </c>
      <c r="E154" t="s">
        <v>134</v>
      </c>
      <c r="F154" s="2">
        <v>80</v>
      </c>
    </row>
    <row r="155" spans="1:6">
      <c r="A155" s="1">
        <v>43480</v>
      </c>
      <c r="B155" t="s">
        <v>301</v>
      </c>
      <c r="C155" t="s">
        <v>136</v>
      </c>
      <c r="D155" t="s">
        <v>139</v>
      </c>
      <c r="E155" t="s">
        <v>134</v>
      </c>
      <c r="F155" s="2">
        <v>80</v>
      </c>
    </row>
    <row r="156" spans="1:6">
      <c r="A156" s="1">
        <v>43480</v>
      </c>
      <c r="B156" t="s">
        <v>302</v>
      </c>
      <c r="C156" t="s">
        <v>129</v>
      </c>
      <c r="D156" t="s">
        <v>130</v>
      </c>
      <c r="E156" t="s">
        <v>134</v>
      </c>
      <c r="F156" s="2">
        <v>100</v>
      </c>
    </row>
    <row r="157" spans="1:6">
      <c r="A157" s="1">
        <v>43481</v>
      </c>
      <c r="B157" t="s">
        <v>303</v>
      </c>
      <c r="C157" t="s">
        <v>167</v>
      </c>
      <c r="D157" t="s">
        <v>139</v>
      </c>
      <c r="E157" t="s">
        <v>131</v>
      </c>
      <c r="F157" s="2">
        <v>80</v>
      </c>
    </row>
    <row r="158" spans="1:6">
      <c r="A158" s="1">
        <v>43481</v>
      </c>
      <c r="B158" t="s">
        <v>304</v>
      </c>
      <c r="C158" t="s">
        <v>125</v>
      </c>
      <c r="D158" t="s">
        <v>141</v>
      </c>
      <c r="E158" t="s">
        <v>131</v>
      </c>
      <c r="F158" s="2">
        <v>180</v>
      </c>
    </row>
    <row r="159" spans="1:6">
      <c r="A159" s="1">
        <v>43481</v>
      </c>
      <c r="B159" t="s">
        <v>305</v>
      </c>
      <c r="C159" t="s">
        <v>119</v>
      </c>
      <c r="D159" t="s">
        <v>130</v>
      </c>
      <c r="E159" t="s">
        <v>121</v>
      </c>
      <c r="F159" s="2">
        <v>100</v>
      </c>
    </row>
    <row r="160" spans="1:6">
      <c r="A160" s="1">
        <v>43481</v>
      </c>
      <c r="B160" t="s">
        <v>306</v>
      </c>
      <c r="C160" t="s">
        <v>157</v>
      </c>
      <c r="D160" t="s">
        <v>126</v>
      </c>
      <c r="E160" t="s">
        <v>127</v>
      </c>
      <c r="F160" s="2">
        <v>160</v>
      </c>
    </row>
    <row r="161" spans="1:6">
      <c r="A161" s="1">
        <v>43481</v>
      </c>
      <c r="B161" t="s">
        <v>307</v>
      </c>
      <c r="C161" t="s">
        <v>157</v>
      </c>
      <c r="D161" t="s">
        <v>159</v>
      </c>
      <c r="E161" t="s">
        <v>153</v>
      </c>
      <c r="F161" s="2">
        <v>150</v>
      </c>
    </row>
    <row r="162" spans="1:6">
      <c r="A162" s="1">
        <v>43481</v>
      </c>
      <c r="B162" t="s">
        <v>308</v>
      </c>
      <c r="C162" t="s">
        <v>143</v>
      </c>
      <c r="D162" t="s">
        <v>120</v>
      </c>
      <c r="E162" t="s">
        <v>127</v>
      </c>
      <c r="F162" s="2">
        <v>90</v>
      </c>
    </row>
    <row r="163" spans="1:6">
      <c r="A163" s="1">
        <v>43481</v>
      </c>
      <c r="B163" t="s">
        <v>309</v>
      </c>
      <c r="C163" t="s">
        <v>143</v>
      </c>
      <c r="D163" t="s">
        <v>146</v>
      </c>
      <c r="E163" t="s">
        <v>153</v>
      </c>
      <c r="F163" s="2">
        <v>50</v>
      </c>
    </row>
    <row r="164" spans="1:6">
      <c r="A164" s="1">
        <v>43481</v>
      </c>
      <c r="B164" t="s">
        <v>310</v>
      </c>
      <c r="C164" t="s">
        <v>143</v>
      </c>
      <c r="D164" t="s">
        <v>146</v>
      </c>
      <c r="E164" t="s">
        <v>153</v>
      </c>
      <c r="F164" s="2">
        <v>50</v>
      </c>
    </row>
    <row r="165" spans="1:6">
      <c r="A165" s="1">
        <v>43481</v>
      </c>
      <c r="B165" t="s">
        <v>311</v>
      </c>
      <c r="C165" t="s">
        <v>136</v>
      </c>
      <c r="D165" t="s">
        <v>146</v>
      </c>
      <c r="E165" t="s">
        <v>131</v>
      </c>
      <c r="F165" s="2">
        <v>50</v>
      </c>
    </row>
    <row r="166" spans="1:6">
      <c r="A166" s="1">
        <v>43481</v>
      </c>
      <c r="B166" t="s">
        <v>312</v>
      </c>
      <c r="C166" t="s">
        <v>145</v>
      </c>
      <c r="D166" t="s">
        <v>141</v>
      </c>
      <c r="E166" t="s">
        <v>127</v>
      </c>
      <c r="F166" s="2">
        <v>180</v>
      </c>
    </row>
    <row r="167" spans="1:6">
      <c r="A167" s="1">
        <v>43482</v>
      </c>
      <c r="B167" t="s">
        <v>313</v>
      </c>
      <c r="C167" t="s">
        <v>157</v>
      </c>
      <c r="D167" t="s">
        <v>141</v>
      </c>
      <c r="E167" t="s">
        <v>121</v>
      </c>
      <c r="F167" s="2">
        <v>180</v>
      </c>
    </row>
    <row r="168" spans="1:6">
      <c r="A168" s="1">
        <v>43482</v>
      </c>
      <c r="B168" t="s">
        <v>314</v>
      </c>
      <c r="C168" t="s">
        <v>119</v>
      </c>
      <c r="D168" t="s">
        <v>133</v>
      </c>
      <c r="E168" t="s">
        <v>127</v>
      </c>
      <c r="F168" s="2">
        <v>30</v>
      </c>
    </row>
    <row r="169" spans="1:6">
      <c r="A169" s="1">
        <v>43482</v>
      </c>
      <c r="B169" t="s">
        <v>315</v>
      </c>
      <c r="C169" t="s">
        <v>182</v>
      </c>
      <c r="D169" t="s">
        <v>120</v>
      </c>
      <c r="E169" t="s">
        <v>134</v>
      </c>
      <c r="F169" s="2">
        <v>90</v>
      </c>
    </row>
    <row r="170" spans="1:6">
      <c r="A170" s="1">
        <v>43482</v>
      </c>
      <c r="B170" t="s">
        <v>316</v>
      </c>
      <c r="C170" t="s">
        <v>138</v>
      </c>
      <c r="D170" t="s">
        <v>159</v>
      </c>
      <c r="E170" t="s">
        <v>121</v>
      </c>
      <c r="F170" s="2">
        <v>150</v>
      </c>
    </row>
    <row r="171" spans="1:6">
      <c r="A171" s="1">
        <v>43482</v>
      </c>
      <c r="B171" t="s">
        <v>317</v>
      </c>
      <c r="C171" t="s">
        <v>125</v>
      </c>
      <c r="D171" t="s">
        <v>141</v>
      </c>
      <c r="E171" t="s">
        <v>121</v>
      </c>
      <c r="F171" s="2">
        <v>180</v>
      </c>
    </row>
    <row r="172" spans="1:6">
      <c r="A172" s="1">
        <v>43482</v>
      </c>
      <c r="B172" t="s">
        <v>318</v>
      </c>
      <c r="C172" t="s">
        <v>189</v>
      </c>
      <c r="D172" t="s">
        <v>133</v>
      </c>
      <c r="E172" t="s">
        <v>127</v>
      </c>
      <c r="F172" s="2">
        <v>30</v>
      </c>
    </row>
    <row r="173" spans="1:6">
      <c r="A173" s="1">
        <v>43482</v>
      </c>
      <c r="B173" t="s">
        <v>319</v>
      </c>
      <c r="C173" t="s">
        <v>187</v>
      </c>
      <c r="D173" t="s">
        <v>139</v>
      </c>
      <c r="E173" t="s">
        <v>127</v>
      </c>
      <c r="F173" s="2">
        <v>80</v>
      </c>
    </row>
    <row r="174" spans="1:6">
      <c r="A174" s="1">
        <v>43482</v>
      </c>
      <c r="B174" t="s">
        <v>320</v>
      </c>
      <c r="C174" t="s">
        <v>129</v>
      </c>
      <c r="D174" t="s">
        <v>126</v>
      </c>
      <c r="E174" t="s">
        <v>131</v>
      </c>
      <c r="F174" s="2">
        <v>160</v>
      </c>
    </row>
    <row r="175" spans="1:6">
      <c r="A175" s="1">
        <v>43482</v>
      </c>
      <c r="B175" t="s">
        <v>321</v>
      </c>
      <c r="C175" t="s">
        <v>136</v>
      </c>
      <c r="D175" t="s">
        <v>130</v>
      </c>
      <c r="E175" t="s">
        <v>134</v>
      </c>
      <c r="F175" s="2">
        <v>100</v>
      </c>
    </row>
    <row r="176" spans="1:6">
      <c r="A176" s="1">
        <v>43482</v>
      </c>
      <c r="B176" t="s">
        <v>322</v>
      </c>
      <c r="C176" t="s">
        <v>164</v>
      </c>
      <c r="D176" t="s">
        <v>120</v>
      </c>
      <c r="E176" t="s">
        <v>131</v>
      </c>
      <c r="F176" s="2">
        <v>90</v>
      </c>
    </row>
    <row r="177" spans="1:6">
      <c r="A177" s="1">
        <v>43482</v>
      </c>
      <c r="B177" t="s">
        <v>323</v>
      </c>
      <c r="C177" t="s">
        <v>167</v>
      </c>
      <c r="D177" t="s">
        <v>126</v>
      </c>
      <c r="E177" t="s">
        <v>153</v>
      </c>
      <c r="F177" s="2">
        <v>160</v>
      </c>
    </row>
    <row r="178" spans="1:6">
      <c r="A178" s="1">
        <v>43483</v>
      </c>
      <c r="B178" t="s">
        <v>324</v>
      </c>
      <c r="C178" t="s">
        <v>123</v>
      </c>
      <c r="D178" t="s">
        <v>146</v>
      </c>
      <c r="E178" t="s">
        <v>131</v>
      </c>
      <c r="F178" s="2">
        <v>50</v>
      </c>
    </row>
    <row r="179" spans="1:6">
      <c r="A179" s="1">
        <v>43483</v>
      </c>
      <c r="B179" t="s">
        <v>325</v>
      </c>
      <c r="C179" t="s">
        <v>157</v>
      </c>
      <c r="D179" t="s">
        <v>141</v>
      </c>
      <c r="E179" t="s">
        <v>153</v>
      </c>
      <c r="F179" s="2">
        <v>180</v>
      </c>
    </row>
    <row r="180" spans="1:6">
      <c r="A180" s="1">
        <v>43483</v>
      </c>
      <c r="B180" t="s">
        <v>326</v>
      </c>
      <c r="C180" t="s">
        <v>223</v>
      </c>
      <c r="D180" t="s">
        <v>146</v>
      </c>
      <c r="E180" t="s">
        <v>121</v>
      </c>
      <c r="F180" s="2">
        <v>50</v>
      </c>
    </row>
    <row r="181" spans="1:6">
      <c r="A181" s="1">
        <v>43483</v>
      </c>
      <c r="B181" t="s">
        <v>327</v>
      </c>
      <c r="C181" t="s">
        <v>143</v>
      </c>
      <c r="D181" t="s">
        <v>141</v>
      </c>
      <c r="E181" t="s">
        <v>153</v>
      </c>
      <c r="F181" s="2">
        <v>180</v>
      </c>
    </row>
    <row r="182" spans="1:6">
      <c r="A182" s="1">
        <v>43483</v>
      </c>
      <c r="B182" t="s">
        <v>328</v>
      </c>
      <c r="C182" t="s">
        <v>187</v>
      </c>
      <c r="D182" t="s">
        <v>159</v>
      </c>
      <c r="E182" t="s">
        <v>127</v>
      </c>
      <c r="F182" s="2">
        <v>150</v>
      </c>
    </row>
    <row r="183" spans="1:6">
      <c r="A183" s="1">
        <v>43483</v>
      </c>
      <c r="B183" t="s">
        <v>329</v>
      </c>
      <c r="C183" t="s">
        <v>152</v>
      </c>
      <c r="D183" t="s">
        <v>120</v>
      </c>
      <c r="E183" t="s">
        <v>134</v>
      </c>
      <c r="F183" s="2">
        <v>90</v>
      </c>
    </row>
    <row r="184" spans="1:6">
      <c r="A184" s="1">
        <v>43483</v>
      </c>
      <c r="B184" t="s">
        <v>330</v>
      </c>
      <c r="C184" t="s">
        <v>152</v>
      </c>
      <c r="D184" t="s">
        <v>146</v>
      </c>
      <c r="E184" t="s">
        <v>153</v>
      </c>
      <c r="F184" s="2">
        <v>50</v>
      </c>
    </row>
    <row r="185" spans="1:6">
      <c r="A185" s="1">
        <v>43483</v>
      </c>
      <c r="B185" t="s">
        <v>331</v>
      </c>
      <c r="C185" t="s">
        <v>143</v>
      </c>
      <c r="D185" t="s">
        <v>159</v>
      </c>
      <c r="E185" t="s">
        <v>127</v>
      </c>
      <c r="F185" s="2">
        <v>150</v>
      </c>
    </row>
    <row r="186" spans="1:6">
      <c r="A186" s="1">
        <v>43483</v>
      </c>
      <c r="B186" t="s">
        <v>332</v>
      </c>
      <c r="C186" t="s">
        <v>136</v>
      </c>
      <c r="D186" t="s">
        <v>133</v>
      </c>
      <c r="E186" t="s">
        <v>153</v>
      </c>
      <c r="F186" s="2">
        <v>30</v>
      </c>
    </row>
    <row r="187" spans="1:6">
      <c r="A187" s="1">
        <v>43484</v>
      </c>
      <c r="B187" t="s">
        <v>333</v>
      </c>
      <c r="C187" t="s">
        <v>164</v>
      </c>
      <c r="D187" t="s">
        <v>120</v>
      </c>
      <c r="E187" t="s">
        <v>134</v>
      </c>
      <c r="F187" s="2">
        <v>90</v>
      </c>
    </row>
    <row r="188" spans="1:6">
      <c r="A188" s="1">
        <v>43484</v>
      </c>
      <c r="B188" t="s">
        <v>334</v>
      </c>
      <c r="C188" t="s">
        <v>123</v>
      </c>
      <c r="D188" t="s">
        <v>146</v>
      </c>
      <c r="E188" t="s">
        <v>134</v>
      </c>
      <c r="F188" s="2">
        <v>50</v>
      </c>
    </row>
    <row r="189" spans="1:6">
      <c r="A189" s="1">
        <v>43484</v>
      </c>
      <c r="B189" t="s">
        <v>335</v>
      </c>
      <c r="C189" t="s">
        <v>152</v>
      </c>
      <c r="D189" t="s">
        <v>141</v>
      </c>
      <c r="E189" t="s">
        <v>131</v>
      </c>
      <c r="F189" s="2">
        <v>180</v>
      </c>
    </row>
    <row r="190" spans="1:6">
      <c r="A190" s="1">
        <v>43484</v>
      </c>
      <c r="B190" t="s">
        <v>336</v>
      </c>
      <c r="C190" t="s">
        <v>145</v>
      </c>
      <c r="D190" t="s">
        <v>159</v>
      </c>
      <c r="E190" t="s">
        <v>127</v>
      </c>
      <c r="F190" s="2">
        <v>150</v>
      </c>
    </row>
    <row r="191" spans="1:6">
      <c r="A191" s="1">
        <v>43484</v>
      </c>
      <c r="B191" t="s">
        <v>337</v>
      </c>
      <c r="C191" t="s">
        <v>129</v>
      </c>
      <c r="D191" t="s">
        <v>146</v>
      </c>
      <c r="E191" t="s">
        <v>127</v>
      </c>
      <c r="F191" s="2">
        <v>50</v>
      </c>
    </row>
    <row r="192" spans="1:6">
      <c r="A192" s="1">
        <v>43484</v>
      </c>
      <c r="B192" t="s">
        <v>338</v>
      </c>
      <c r="C192" t="s">
        <v>145</v>
      </c>
      <c r="D192" t="s">
        <v>120</v>
      </c>
      <c r="E192" t="s">
        <v>127</v>
      </c>
      <c r="F192" s="2">
        <v>90</v>
      </c>
    </row>
    <row r="193" spans="1:6">
      <c r="A193" s="1">
        <v>43484</v>
      </c>
      <c r="B193" t="s">
        <v>339</v>
      </c>
      <c r="C193" t="s">
        <v>187</v>
      </c>
      <c r="D193" t="s">
        <v>139</v>
      </c>
      <c r="E193" t="s">
        <v>121</v>
      </c>
      <c r="F193" s="2">
        <v>80</v>
      </c>
    </row>
    <row r="194" spans="1:6">
      <c r="A194" s="1">
        <v>43484</v>
      </c>
      <c r="B194" t="s">
        <v>340</v>
      </c>
      <c r="C194" t="s">
        <v>152</v>
      </c>
      <c r="D194" t="s">
        <v>130</v>
      </c>
      <c r="E194" t="s">
        <v>153</v>
      </c>
      <c r="F194" s="2">
        <v>100</v>
      </c>
    </row>
    <row r="195" spans="1:6">
      <c r="A195" s="1">
        <v>43484</v>
      </c>
      <c r="B195" t="s">
        <v>341</v>
      </c>
      <c r="C195" t="s">
        <v>223</v>
      </c>
      <c r="D195" t="s">
        <v>126</v>
      </c>
      <c r="E195" t="s">
        <v>134</v>
      </c>
      <c r="F195" s="2">
        <v>160</v>
      </c>
    </row>
    <row r="196" spans="1:6">
      <c r="A196" s="1">
        <v>43484</v>
      </c>
      <c r="B196" t="s">
        <v>342</v>
      </c>
      <c r="C196" t="s">
        <v>143</v>
      </c>
      <c r="D196" t="s">
        <v>146</v>
      </c>
      <c r="E196" t="s">
        <v>121</v>
      </c>
      <c r="F196" s="2">
        <v>50</v>
      </c>
    </row>
    <row r="197" spans="1:6">
      <c r="A197" s="1">
        <v>43484</v>
      </c>
      <c r="B197" t="s">
        <v>343</v>
      </c>
      <c r="C197" t="s">
        <v>129</v>
      </c>
      <c r="D197" t="s">
        <v>141</v>
      </c>
      <c r="E197" t="s">
        <v>127</v>
      </c>
      <c r="F197" s="2">
        <v>180</v>
      </c>
    </row>
    <row r="198" spans="1:6">
      <c r="A198" s="1">
        <v>43484</v>
      </c>
      <c r="B198" t="s">
        <v>344</v>
      </c>
      <c r="C198" t="s">
        <v>125</v>
      </c>
      <c r="D198" t="s">
        <v>146</v>
      </c>
      <c r="E198" t="s">
        <v>134</v>
      </c>
      <c r="F198" s="2">
        <v>50</v>
      </c>
    </row>
    <row r="199" spans="1:6">
      <c r="A199" s="1">
        <v>43485</v>
      </c>
      <c r="B199" t="s">
        <v>345</v>
      </c>
      <c r="C199" t="s">
        <v>129</v>
      </c>
      <c r="D199" t="s">
        <v>133</v>
      </c>
      <c r="E199" t="s">
        <v>131</v>
      </c>
      <c r="F199" s="2">
        <v>30</v>
      </c>
    </row>
    <row r="200" spans="1:6">
      <c r="A200" s="1">
        <v>43485</v>
      </c>
      <c r="B200" t="s">
        <v>346</v>
      </c>
      <c r="C200" t="s">
        <v>182</v>
      </c>
      <c r="D200" t="s">
        <v>159</v>
      </c>
      <c r="E200" t="s">
        <v>121</v>
      </c>
      <c r="F200" s="2">
        <v>150</v>
      </c>
    </row>
    <row r="201" spans="1:6">
      <c r="A201" s="1">
        <v>43485</v>
      </c>
      <c r="B201" t="s">
        <v>347</v>
      </c>
      <c r="C201" t="s">
        <v>164</v>
      </c>
      <c r="D201" t="s">
        <v>146</v>
      </c>
      <c r="E201" t="s">
        <v>131</v>
      </c>
      <c r="F201" s="2">
        <v>50</v>
      </c>
    </row>
    <row r="202" spans="1:6">
      <c r="A202" s="1">
        <v>43485</v>
      </c>
      <c r="B202" t="s">
        <v>348</v>
      </c>
      <c r="C202" t="s">
        <v>223</v>
      </c>
      <c r="D202" t="s">
        <v>133</v>
      </c>
      <c r="E202" t="s">
        <v>134</v>
      </c>
      <c r="F202" s="2">
        <v>30</v>
      </c>
    </row>
    <row r="203" spans="1:6">
      <c r="A203" s="1">
        <v>43485</v>
      </c>
      <c r="B203" t="s">
        <v>349</v>
      </c>
      <c r="C203" t="s">
        <v>129</v>
      </c>
      <c r="D203" t="s">
        <v>130</v>
      </c>
      <c r="E203" t="s">
        <v>121</v>
      </c>
      <c r="F203" s="2">
        <v>100</v>
      </c>
    </row>
    <row r="204" spans="1:6">
      <c r="A204" s="1">
        <v>43485</v>
      </c>
      <c r="B204" t="s">
        <v>350</v>
      </c>
      <c r="C204" t="s">
        <v>123</v>
      </c>
      <c r="D204" t="s">
        <v>120</v>
      </c>
      <c r="E204" t="s">
        <v>121</v>
      </c>
      <c r="F204" s="2">
        <v>90</v>
      </c>
    </row>
    <row r="205" spans="1:6">
      <c r="A205" s="1">
        <v>43485</v>
      </c>
      <c r="B205" t="s">
        <v>351</v>
      </c>
      <c r="C205" t="s">
        <v>136</v>
      </c>
      <c r="D205" t="s">
        <v>146</v>
      </c>
      <c r="E205" t="s">
        <v>121</v>
      </c>
      <c r="F205" s="2">
        <v>50</v>
      </c>
    </row>
    <row r="206" spans="1:6">
      <c r="A206" s="1">
        <v>43485</v>
      </c>
      <c r="B206" t="s">
        <v>352</v>
      </c>
      <c r="C206" t="s">
        <v>145</v>
      </c>
      <c r="D206" t="s">
        <v>146</v>
      </c>
      <c r="E206" t="s">
        <v>127</v>
      </c>
      <c r="F206" s="2">
        <v>50</v>
      </c>
    </row>
    <row r="207" spans="1:6">
      <c r="A207" s="1">
        <v>43485</v>
      </c>
      <c r="B207" t="s">
        <v>353</v>
      </c>
      <c r="C207" t="s">
        <v>223</v>
      </c>
      <c r="D207" t="s">
        <v>139</v>
      </c>
      <c r="E207" t="s">
        <v>127</v>
      </c>
      <c r="F207" s="2">
        <v>80</v>
      </c>
    </row>
    <row r="208" spans="1:6">
      <c r="A208" s="1">
        <v>43485</v>
      </c>
      <c r="B208" t="s">
        <v>354</v>
      </c>
      <c r="C208" t="s">
        <v>145</v>
      </c>
      <c r="D208" t="s">
        <v>120</v>
      </c>
      <c r="E208" t="s">
        <v>153</v>
      </c>
      <c r="F208" s="2">
        <v>90</v>
      </c>
    </row>
    <row r="209" spans="1:6">
      <c r="A209" s="1">
        <v>43486</v>
      </c>
      <c r="B209" t="s">
        <v>355</v>
      </c>
      <c r="C209" t="s">
        <v>119</v>
      </c>
      <c r="D209" t="s">
        <v>130</v>
      </c>
      <c r="E209" t="s">
        <v>134</v>
      </c>
      <c r="F209" s="2">
        <v>100</v>
      </c>
    </row>
    <row r="210" spans="1:6">
      <c r="A210" s="1">
        <v>43486</v>
      </c>
      <c r="B210" t="s">
        <v>356</v>
      </c>
      <c r="C210" t="s">
        <v>157</v>
      </c>
      <c r="D210" t="s">
        <v>141</v>
      </c>
      <c r="E210" t="s">
        <v>134</v>
      </c>
      <c r="F210" s="2">
        <v>180</v>
      </c>
    </row>
    <row r="211" spans="1:6">
      <c r="A211" s="1">
        <v>43486</v>
      </c>
      <c r="B211" t="s">
        <v>357</v>
      </c>
      <c r="C211" t="s">
        <v>223</v>
      </c>
      <c r="D211" t="s">
        <v>159</v>
      </c>
      <c r="E211" t="s">
        <v>153</v>
      </c>
      <c r="F211" s="2">
        <v>150</v>
      </c>
    </row>
    <row r="212" spans="1:6">
      <c r="A212" s="1">
        <v>43486</v>
      </c>
      <c r="B212" t="s">
        <v>358</v>
      </c>
      <c r="C212" t="s">
        <v>129</v>
      </c>
      <c r="D212" t="s">
        <v>133</v>
      </c>
      <c r="E212" t="s">
        <v>153</v>
      </c>
      <c r="F212" s="2">
        <v>30</v>
      </c>
    </row>
    <row r="213" spans="1:6">
      <c r="A213" s="1">
        <v>43486</v>
      </c>
      <c r="B213" t="s">
        <v>359</v>
      </c>
      <c r="C213" t="s">
        <v>189</v>
      </c>
      <c r="D213" t="s">
        <v>130</v>
      </c>
      <c r="E213" t="s">
        <v>153</v>
      </c>
      <c r="F213" s="2">
        <v>100</v>
      </c>
    </row>
    <row r="214" spans="1:6">
      <c r="A214" s="1">
        <v>43486</v>
      </c>
      <c r="B214" t="s">
        <v>360</v>
      </c>
      <c r="C214" t="s">
        <v>119</v>
      </c>
      <c r="D214" t="s">
        <v>120</v>
      </c>
      <c r="E214" t="s">
        <v>134</v>
      </c>
      <c r="F214" s="2">
        <v>90</v>
      </c>
    </row>
    <row r="215" spans="1:6">
      <c r="A215" s="1">
        <v>43486</v>
      </c>
      <c r="B215" t="s">
        <v>361</v>
      </c>
      <c r="C215" t="s">
        <v>189</v>
      </c>
      <c r="D215" t="s">
        <v>159</v>
      </c>
      <c r="E215" t="s">
        <v>131</v>
      </c>
      <c r="F215" s="2">
        <v>150</v>
      </c>
    </row>
    <row r="216" spans="1:6">
      <c r="A216" s="1">
        <v>43486</v>
      </c>
      <c r="B216" t="s">
        <v>362</v>
      </c>
      <c r="C216" t="s">
        <v>157</v>
      </c>
      <c r="D216" t="s">
        <v>159</v>
      </c>
      <c r="E216" t="s">
        <v>134</v>
      </c>
      <c r="F216" s="2">
        <v>150</v>
      </c>
    </row>
    <row r="217" spans="1:6">
      <c r="A217" s="1">
        <v>43486</v>
      </c>
      <c r="B217" t="s">
        <v>363</v>
      </c>
      <c r="C217" t="s">
        <v>119</v>
      </c>
      <c r="D217" t="s">
        <v>126</v>
      </c>
      <c r="E217" t="s">
        <v>131</v>
      </c>
      <c r="F217" s="2">
        <v>160</v>
      </c>
    </row>
    <row r="218" spans="1:6">
      <c r="A218" s="1">
        <v>43487</v>
      </c>
      <c r="B218" t="s">
        <v>364</v>
      </c>
      <c r="C218" t="s">
        <v>152</v>
      </c>
      <c r="D218" t="s">
        <v>120</v>
      </c>
      <c r="E218" t="s">
        <v>127</v>
      </c>
      <c r="F218" s="2">
        <v>90</v>
      </c>
    </row>
    <row r="219" spans="1:6">
      <c r="A219" s="1">
        <v>43487</v>
      </c>
      <c r="B219" t="s">
        <v>365</v>
      </c>
      <c r="C219" t="s">
        <v>182</v>
      </c>
      <c r="D219" t="s">
        <v>126</v>
      </c>
      <c r="E219" t="s">
        <v>121</v>
      </c>
      <c r="F219" s="2">
        <v>160</v>
      </c>
    </row>
    <row r="220" spans="1:6">
      <c r="A220" s="1">
        <v>43487</v>
      </c>
      <c r="B220" t="s">
        <v>366</v>
      </c>
      <c r="C220" t="s">
        <v>148</v>
      </c>
      <c r="D220" t="s">
        <v>146</v>
      </c>
      <c r="E220" t="s">
        <v>127</v>
      </c>
      <c r="F220" s="2">
        <v>50</v>
      </c>
    </row>
    <row r="221" spans="1:6">
      <c r="A221" s="1">
        <v>43487</v>
      </c>
      <c r="B221" t="s">
        <v>367</v>
      </c>
      <c r="C221" t="s">
        <v>119</v>
      </c>
      <c r="D221" t="s">
        <v>159</v>
      </c>
      <c r="E221" t="s">
        <v>131</v>
      </c>
      <c r="F221" s="2">
        <v>150</v>
      </c>
    </row>
    <row r="222" spans="1:6">
      <c r="A222" s="1">
        <v>43487</v>
      </c>
      <c r="B222" t="s">
        <v>368</v>
      </c>
      <c r="C222" t="s">
        <v>164</v>
      </c>
      <c r="D222" t="s">
        <v>141</v>
      </c>
      <c r="E222" t="s">
        <v>121</v>
      </c>
      <c r="F222" s="2">
        <v>180</v>
      </c>
    </row>
    <row r="223" spans="1:6">
      <c r="A223" s="1">
        <v>43487</v>
      </c>
      <c r="B223" t="s">
        <v>369</v>
      </c>
      <c r="C223" t="s">
        <v>136</v>
      </c>
      <c r="D223" t="s">
        <v>146</v>
      </c>
      <c r="E223" t="s">
        <v>134</v>
      </c>
      <c r="F223" s="2">
        <v>50</v>
      </c>
    </row>
    <row r="224" spans="1:6">
      <c r="A224" s="1">
        <v>43487</v>
      </c>
      <c r="B224" t="s">
        <v>370</v>
      </c>
      <c r="C224" t="s">
        <v>129</v>
      </c>
      <c r="D224" t="s">
        <v>159</v>
      </c>
      <c r="E224" t="s">
        <v>134</v>
      </c>
      <c r="F224" s="2">
        <v>150</v>
      </c>
    </row>
    <row r="225" spans="1:6">
      <c r="A225" s="1">
        <v>43487</v>
      </c>
      <c r="B225" t="s">
        <v>371</v>
      </c>
      <c r="C225" t="s">
        <v>223</v>
      </c>
      <c r="D225" t="s">
        <v>141</v>
      </c>
      <c r="E225" t="s">
        <v>127</v>
      </c>
      <c r="F225" s="2">
        <v>180</v>
      </c>
    </row>
    <row r="226" spans="1:6">
      <c r="A226" s="1">
        <v>43487</v>
      </c>
      <c r="B226" t="s">
        <v>372</v>
      </c>
      <c r="C226" t="s">
        <v>164</v>
      </c>
      <c r="D226" t="s">
        <v>159</v>
      </c>
      <c r="E226" t="s">
        <v>127</v>
      </c>
      <c r="F226" s="2">
        <v>150</v>
      </c>
    </row>
    <row r="227" spans="1:6">
      <c r="A227" s="1">
        <v>43487</v>
      </c>
      <c r="B227" t="s">
        <v>373</v>
      </c>
      <c r="C227" t="s">
        <v>187</v>
      </c>
      <c r="D227" t="s">
        <v>146</v>
      </c>
      <c r="E227" t="s">
        <v>127</v>
      </c>
      <c r="F227" s="2">
        <v>50</v>
      </c>
    </row>
    <row r="228" spans="1:6">
      <c r="A228" s="1">
        <v>43487</v>
      </c>
      <c r="B228" t="s">
        <v>374</v>
      </c>
      <c r="C228" t="s">
        <v>189</v>
      </c>
      <c r="D228" t="s">
        <v>146</v>
      </c>
      <c r="E228" t="s">
        <v>131</v>
      </c>
      <c r="F228" s="2">
        <v>50</v>
      </c>
    </row>
    <row r="229" spans="1:6">
      <c r="A229" s="1">
        <v>43488</v>
      </c>
      <c r="B229" t="s">
        <v>375</v>
      </c>
      <c r="C229" t="s">
        <v>189</v>
      </c>
      <c r="D229" t="s">
        <v>141</v>
      </c>
      <c r="E229" t="s">
        <v>153</v>
      </c>
      <c r="F229" s="2">
        <v>180</v>
      </c>
    </row>
    <row r="230" spans="1:6">
      <c r="A230" s="1">
        <v>43488</v>
      </c>
      <c r="B230" t="s">
        <v>376</v>
      </c>
      <c r="C230" t="s">
        <v>136</v>
      </c>
      <c r="D230" t="s">
        <v>159</v>
      </c>
      <c r="E230" t="s">
        <v>121</v>
      </c>
      <c r="F230" s="2">
        <v>150</v>
      </c>
    </row>
    <row r="231" spans="1:6">
      <c r="A231" s="1">
        <v>43488</v>
      </c>
      <c r="B231" t="s">
        <v>377</v>
      </c>
      <c r="C231" t="s">
        <v>119</v>
      </c>
      <c r="D231" t="s">
        <v>133</v>
      </c>
      <c r="E231" t="s">
        <v>121</v>
      </c>
      <c r="F231" s="2">
        <v>30</v>
      </c>
    </row>
    <row r="232" spans="1:6">
      <c r="A232" s="1">
        <v>43488</v>
      </c>
      <c r="B232" t="s">
        <v>378</v>
      </c>
      <c r="C232" t="s">
        <v>182</v>
      </c>
      <c r="D232" t="s">
        <v>133</v>
      </c>
      <c r="E232" t="s">
        <v>153</v>
      </c>
      <c r="F232" s="2">
        <v>30</v>
      </c>
    </row>
    <row r="233" spans="1:6">
      <c r="A233" s="1">
        <v>43488</v>
      </c>
      <c r="B233" t="s">
        <v>379</v>
      </c>
      <c r="C233" t="s">
        <v>125</v>
      </c>
      <c r="D233" t="s">
        <v>141</v>
      </c>
      <c r="E233" t="s">
        <v>127</v>
      </c>
      <c r="F233" s="2">
        <v>180</v>
      </c>
    </row>
    <row r="234" spans="1:6">
      <c r="A234" s="1">
        <v>43488</v>
      </c>
      <c r="B234" t="s">
        <v>380</v>
      </c>
      <c r="C234" t="s">
        <v>148</v>
      </c>
      <c r="D234" t="s">
        <v>133</v>
      </c>
      <c r="E234" t="s">
        <v>153</v>
      </c>
      <c r="F234" s="2">
        <v>30</v>
      </c>
    </row>
    <row r="235" spans="1:6">
      <c r="A235" s="1">
        <v>43488</v>
      </c>
      <c r="B235" t="s">
        <v>381</v>
      </c>
      <c r="C235" t="s">
        <v>119</v>
      </c>
      <c r="D235" t="s">
        <v>130</v>
      </c>
      <c r="E235" t="s">
        <v>127</v>
      </c>
      <c r="F235" s="2">
        <v>100</v>
      </c>
    </row>
    <row r="236" spans="1:6">
      <c r="A236" s="1">
        <v>43488</v>
      </c>
      <c r="B236" t="s">
        <v>382</v>
      </c>
      <c r="C236" t="s">
        <v>157</v>
      </c>
      <c r="D236" t="s">
        <v>130</v>
      </c>
      <c r="E236" t="s">
        <v>153</v>
      </c>
      <c r="F236" s="2">
        <v>100</v>
      </c>
    </row>
    <row r="237" spans="1:6">
      <c r="A237" s="1">
        <v>43488</v>
      </c>
      <c r="B237" t="s">
        <v>383</v>
      </c>
      <c r="C237" t="s">
        <v>187</v>
      </c>
      <c r="D237" t="s">
        <v>126</v>
      </c>
      <c r="E237" t="s">
        <v>131</v>
      </c>
      <c r="F237" s="2">
        <v>160</v>
      </c>
    </row>
    <row r="238" spans="1:6">
      <c r="A238" s="1">
        <v>43489</v>
      </c>
      <c r="B238" t="s">
        <v>384</v>
      </c>
      <c r="C238" t="s">
        <v>138</v>
      </c>
      <c r="D238" t="s">
        <v>141</v>
      </c>
      <c r="E238" t="s">
        <v>121</v>
      </c>
      <c r="F238" s="2">
        <v>180</v>
      </c>
    </row>
    <row r="239" spans="1:6">
      <c r="A239" s="1">
        <v>43489</v>
      </c>
      <c r="B239" t="s">
        <v>385</v>
      </c>
      <c r="C239" t="s">
        <v>129</v>
      </c>
      <c r="D239" t="s">
        <v>159</v>
      </c>
      <c r="E239" t="s">
        <v>134</v>
      </c>
      <c r="F239" s="2">
        <v>150</v>
      </c>
    </row>
    <row r="240" spans="1:6">
      <c r="A240" s="1">
        <v>43489</v>
      </c>
      <c r="B240" t="s">
        <v>386</v>
      </c>
      <c r="C240" t="s">
        <v>167</v>
      </c>
      <c r="D240" t="s">
        <v>133</v>
      </c>
      <c r="E240" t="s">
        <v>127</v>
      </c>
      <c r="F240" s="2">
        <v>30</v>
      </c>
    </row>
    <row r="241" spans="1:6">
      <c r="A241" s="1">
        <v>43489</v>
      </c>
      <c r="B241" t="s">
        <v>387</v>
      </c>
      <c r="C241" t="s">
        <v>223</v>
      </c>
      <c r="D241" t="s">
        <v>139</v>
      </c>
      <c r="E241" t="s">
        <v>131</v>
      </c>
      <c r="F241" s="2">
        <v>80</v>
      </c>
    </row>
    <row r="242" spans="1:6">
      <c r="A242" s="1">
        <v>43489</v>
      </c>
      <c r="B242" t="s">
        <v>388</v>
      </c>
      <c r="C242" t="s">
        <v>189</v>
      </c>
      <c r="D242" t="s">
        <v>126</v>
      </c>
      <c r="E242" t="s">
        <v>121</v>
      </c>
      <c r="F242" s="2">
        <v>160</v>
      </c>
    </row>
    <row r="243" spans="1:6">
      <c r="A243" s="1">
        <v>43489</v>
      </c>
      <c r="B243" t="s">
        <v>389</v>
      </c>
      <c r="C243" t="s">
        <v>129</v>
      </c>
      <c r="D243" t="s">
        <v>146</v>
      </c>
      <c r="E243" t="s">
        <v>134</v>
      </c>
      <c r="F243" s="2">
        <v>50</v>
      </c>
    </row>
    <row r="244" spans="1:6">
      <c r="A244" s="1">
        <v>43489</v>
      </c>
      <c r="B244" t="s">
        <v>390</v>
      </c>
      <c r="C244" t="s">
        <v>148</v>
      </c>
      <c r="D244" t="s">
        <v>141</v>
      </c>
      <c r="E244" t="s">
        <v>131</v>
      </c>
      <c r="F244" s="2">
        <v>180</v>
      </c>
    </row>
    <row r="245" spans="1:6">
      <c r="A245" s="1">
        <v>43489</v>
      </c>
      <c r="B245" t="s">
        <v>391</v>
      </c>
      <c r="C245" t="s">
        <v>152</v>
      </c>
      <c r="D245" t="s">
        <v>126</v>
      </c>
      <c r="E245" t="s">
        <v>153</v>
      </c>
      <c r="F245" s="2">
        <v>160</v>
      </c>
    </row>
    <row r="246" spans="1:6">
      <c r="A246" s="1">
        <v>43489</v>
      </c>
      <c r="B246" t="s">
        <v>392</v>
      </c>
      <c r="C246" t="s">
        <v>187</v>
      </c>
      <c r="D246" t="s">
        <v>130</v>
      </c>
      <c r="E246" t="s">
        <v>134</v>
      </c>
      <c r="F246" s="2">
        <v>100</v>
      </c>
    </row>
    <row r="247" spans="1:6">
      <c r="A247" s="1">
        <v>43489</v>
      </c>
      <c r="B247" t="s">
        <v>393</v>
      </c>
      <c r="C247" t="s">
        <v>167</v>
      </c>
      <c r="D247" t="s">
        <v>159</v>
      </c>
      <c r="E247" t="s">
        <v>131</v>
      </c>
      <c r="F247" s="2">
        <v>150</v>
      </c>
    </row>
    <row r="248" spans="1:6">
      <c r="A248" s="1">
        <v>43489</v>
      </c>
      <c r="B248" t="s">
        <v>394</v>
      </c>
      <c r="C248" t="s">
        <v>152</v>
      </c>
      <c r="D248" t="s">
        <v>159</v>
      </c>
      <c r="E248" t="s">
        <v>127</v>
      </c>
      <c r="F248" s="2">
        <v>150</v>
      </c>
    </row>
    <row r="249" spans="1:6">
      <c r="A249" s="1">
        <v>43490</v>
      </c>
      <c r="B249" t="s">
        <v>395</v>
      </c>
      <c r="C249" t="s">
        <v>148</v>
      </c>
      <c r="D249" t="s">
        <v>139</v>
      </c>
      <c r="E249" t="s">
        <v>127</v>
      </c>
      <c r="F249" s="2">
        <v>80</v>
      </c>
    </row>
    <row r="250" spans="1:6">
      <c r="A250" s="1">
        <v>43490</v>
      </c>
      <c r="B250" t="s">
        <v>396</v>
      </c>
      <c r="C250" t="s">
        <v>164</v>
      </c>
      <c r="D250" t="s">
        <v>133</v>
      </c>
      <c r="E250" t="s">
        <v>134</v>
      </c>
      <c r="F250" s="2">
        <v>30</v>
      </c>
    </row>
    <row r="251" spans="1:6">
      <c r="A251" s="1">
        <v>43490</v>
      </c>
      <c r="B251" t="s">
        <v>397</v>
      </c>
      <c r="C251" t="s">
        <v>129</v>
      </c>
      <c r="D251" t="s">
        <v>139</v>
      </c>
      <c r="E251" t="s">
        <v>134</v>
      </c>
      <c r="F251" s="2">
        <v>80</v>
      </c>
    </row>
    <row r="252" spans="1:6">
      <c r="A252" s="1">
        <v>43490</v>
      </c>
      <c r="B252" t="s">
        <v>398</v>
      </c>
      <c r="C252" t="s">
        <v>148</v>
      </c>
      <c r="D252" t="s">
        <v>133</v>
      </c>
      <c r="E252" t="s">
        <v>127</v>
      </c>
      <c r="F252" s="2">
        <v>30</v>
      </c>
    </row>
    <row r="253" spans="1:6">
      <c r="A253" s="1">
        <v>43490</v>
      </c>
      <c r="B253" t="s">
        <v>399</v>
      </c>
      <c r="C253" t="s">
        <v>152</v>
      </c>
      <c r="D253" t="s">
        <v>130</v>
      </c>
      <c r="E253" t="s">
        <v>131</v>
      </c>
      <c r="F253" s="2">
        <v>100</v>
      </c>
    </row>
    <row r="254" spans="1:6">
      <c r="A254" s="1">
        <v>43490</v>
      </c>
      <c r="B254" t="s">
        <v>400</v>
      </c>
      <c r="C254" t="s">
        <v>223</v>
      </c>
      <c r="D254" t="s">
        <v>126</v>
      </c>
      <c r="E254" t="s">
        <v>121</v>
      </c>
      <c r="F254" s="2">
        <v>160</v>
      </c>
    </row>
    <row r="255" spans="1:6">
      <c r="A255" s="1">
        <v>43490</v>
      </c>
      <c r="B255" t="s">
        <v>401</v>
      </c>
      <c r="C255" t="s">
        <v>152</v>
      </c>
      <c r="D255" t="s">
        <v>159</v>
      </c>
      <c r="E255" t="s">
        <v>134</v>
      </c>
      <c r="F255" s="2">
        <v>150</v>
      </c>
    </row>
    <row r="256" spans="1:6">
      <c r="A256" s="1">
        <v>43490</v>
      </c>
      <c r="B256" t="s">
        <v>402</v>
      </c>
      <c r="C256" t="s">
        <v>125</v>
      </c>
      <c r="D256" t="s">
        <v>126</v>
      </c>
      <c r="E256" t="s">
        <v>131</v>
      </c>
      <c r="F256" s="2">
        <v>160</v>
      </c>
    </row>
    <row r="257" spans="1:6">
      <c r="A257" s="1">
        <v>43490</v>
      </c>
      <c r="B257" t="s">
        <v>403</v>
      </c>
      <c r="C257" t="s">
        <v>119</v>
      </c>
      <c r="D257" t="s">
        <v>159</v>
      </c>
      <c r="E257" t="s">
        <v>127</v>
      </c>
      <c r="F257" s="2">
        <v>150</v>
      </c>
    </row>
    <row r="258" spans="1:6">
      <c r="A258" s="1">
        <v>43490</v>
      </c>
      <c r="B258" t="s">
        <v>404</v>
      </c>
      <c r="C258" t="s">
        <v>125</v>
      </c>
      <c r="D258" t="s">
        <v>133</v>
      </c>
      <c r="E258" t="s">
        <v>121</v>
      </c>
      <c r="F258" s="2">
        <v>30</v>
      </c>
    </row>
    <row r="259" spans="1:6">
      <c r="A259" s="1">
        <v>43490</v>
      </c>
      <c r="B259" t="s">
        <v>405</v>
      </c>
      <c r="C259" t="s">
        <v>182</v>
      </c>
      <c r="D259" t="s">
        <v>120</v>
      </c>
      <c r="E259" t="s">
        <v>127</v>
      </c>
      <c r="F259" s="2">
        <v>90</v>
      </c>
    </row>
    <row r="260" spans="1:6">
      <c r="A260" s="1">
        <v>43490</v>
      </c>
      <c r="B260" t="s">
        <v>406</v>
      </c>
      <c r="C260" t="s">
        <v>123</v>
      </c>
      <c r="D260" t="s">
        <v>159</v>
      </c>
      <c r="E260" t="s">
        <v>131</v>
      </c>
      <c r="F260" s="2">
        <v>150</v>
      </c>
    </row>
    <row r="261" spans="1:6">
      <c r="A261" s="1">
        <v>43490</v>
      </c>
      <c r="B261" t="s">
        <v>407</v>
      </c>
      <c r="C261" t="s">
        <v>189</v>
      </c>
      <c r="D261" t="s">
        <v>130</v>
      </c>
      <c r="E261" t="s">
        <v>153</v>
      </c>
      <c r="F261" s="2">
        <v>100</v>
      </c>
    </row>
    <row r="262" spans="1:6">
      <c r="A262" s="1">
        <v>43490</v>
      </c>
      <c r="B262" t="s">
        <v>408</v>
      </c>
      <c r="C262" t="s">
        <v>157</v>
      </c>
      <c r="D262" t="s">
        <v>159</v>
      </c>
      <c r="E262" t="s">
        <v>153</v>
      </c>
      <c r="F262" s="2">
        <v>150</v>
      </c>
    </row>
    <row r="263" spans="1:6">
      <c r="A263" s="1">
        <v>43490</v>
      </c>
      <c r="B263" t="s">
        <v>409</v>
      </c>
      <c r="C263" t="s">
        <v>157</v>
      </c>
      <c r="D263" t="s">
        <v>159</v>
      </c>
      <c r="E263" t="s">
        <v>127</v>
      </c>
      <c r="F263" s="2">
        <v>150</v>
      </c>
    </row>
    <row r="264" spans="1:6">
      <c r="A264" s="1">
        <v>43490</v>
      </c>
      <c r="B264" t="s">
        <v>410</v>
      </c>
      <c r="C264" t="s">
        <v>189</v>
      </c>
      <c r="D264" t="s">
        <v>139</v>
      </c>
      <c r="E264" t="s">
        <v>127</v>
      </c>
      <c r="F264" s="2">
        <v>80</v>
      </c>
    </row>
    <row r="265" spans="1:6">
      <c r="A265" s="1">
        <v>43490</v>
      </c>
      <c r="B265" t="s">
        <v>411</v>
      </c>
      <c r="C265" t="s">
        <v>164</v>
      </c>
      <c r="D265" t="s">
        <v>159</v>
      </c>
      <c r="E265" t="s">
        <v>127</v>
      </c>
      <c r="F265" s="2">
        <v>150</v>
      </c>
    </row>
    <row r="266" spans="1:6">
      <c r="A266" s="1">
        <v>43490</v>
      </c>
      <c r="B266" t="s">
        <v>412</v>
      </c>
      <c r="C266" t="s">
        <v>138</v>
      </c>
      <c r="D266" t="s">
        <v>159</v>
      </c>
      <c r="E266" t="s">
        <v>127</v>
      </c>
      <c r="F266" s="2">
        <v>150</v>
      </c>
    </row>
    <row r="267" spans="1:6">
      <c r="A267" s="1">
        <v>43490</v>
      </c>
      <c r="B267" t="s">
        <v>413</v>
      </c>
      <c r="C267" t="s">
        <v>148</v>
      </c>
      <c r="D267" t="s">
        <v>146</v>
      </c>
      <c r="E267" t="s">
        <v>121</v>
      </c>
      <c r="F267" s="2">
        <v>50</v>
      </c>
    </row>
    <row r="268" spans="1:6">
      <c r="A268" s="1">
        <v>43491</v>
      </c>
      <c r="B268" t="s">
        <v>414</v>
      </c>
      <c r="C268" t="s">
        <v>125</v>
      </c>
      <c r="D268" t="s">
        <v>159</v>
      </c>
      <c r="E268" t="s">
        <v>127</v>
      </c>
      <c r="F268" s="2">
        <v>150</v>
      </c>
    </row>
    <row r="269" spans="1:6">
      <c r="A269" s="1">
        <v>43491</v>
      </c>
      <c r="B269" t="s">
        <v>415</v>
      </c>
      <c r="C269" t="s">
        <v>182</v>
      </c>
      <c r="D269" t="s">
        <v>139</v>
      </c>
      <c r="E269" t="s">
        <v>131</v>
      </c>
      <c r="F269" s="2">
        <v>80</v>
      </c>
    </row>
    <row r="270" spans="1:6">
      <c r="A270" s="1">
        <v>43491</v>
      </c>
      <c r="B270" t="s">
        <v>416</v>
      </c>
      <c r="C270" t="s">
        <v>167</v>
      </c>
      <c r="D270" t="s">
        <v>130</v>
      </c>
      <c r="E270" t="s">
        <v>127</v>
      </c>
      <c r="F270" s="2">
        <v>100</v>
      </c>
    </row>
    <row r="271" spans="1:6">
      <c r="A271" s="1">
        <v>43491</v>
      </c>
      <c r="B271" t="s">
        <v>417</v>
      </c>
      <c r="C271" t="s">
        <v>125</v>
      </c>
      <c r="D271" t="s">
        <v>130</v>
      </c>
      <c r="E271" t="s">
        <v>121</v>
      </c>
      <c r="F271" s="2">
        <v>100</v>
      </c>
    </row>
    <row r="272" spans="1:6">
      <c r="A272" s="1">
        <v>43491</v>
      </c>
      <c r="B272" t="s">
        <v>418</v>
      </c>
      <c r="C272" t="s">
        <v>189</v>
      </c>
      <c r="D272" t="s">
        <v>133</v>
      </c>
      <c r="E272" t="s">
        <v>127</v>
      </c>
      <c r="F272" s="2">
        <v>30</v>
      </c>
    </row>
    <row r="273" spans="1:6">
      <c r="A273" s="1">
        <v>43491</v>
      </c>
      <c r="B273" t="s">
        <v>419</v>
      </c>
      <c r="C273" t="s">
        <v>223</v>
      </c>
      <c r="D273" t="s">
        <v>146</v>
      </c>
      <c r="E273" t="s">
        <v>131</v>
      </c>
      <c r="F273" s="2">
        <v>50</v>
      </c>
    </row>
    <row r="274" spans="1:6">
      <c r="A274" s="1">
        <v>43491</v>
      </c>
      <c r="B274" t="s">
        <v>420</v>
      </c>
      <c r="C274" t="s">
        <v>129</v>
      </c>
      <c r="D274" t="s">
        <v>130</v>
      </c>
      <c r="E274" t="s">
        <v>127</v>
      </c>
      <c r="F274" s="2">
        <v>100</v>
      </c>
    </row>
    <row r="275" spans="1:6">
      <c r="A275" s="1">
        <v>43492</v>
      </c>
      <c r="B275" t="s">
        <v>421</v>
      </c>
      <c r="C275" t="s">
        <v>157</v>
      </c>
      <c r="D275" t="s">
        <v>139</v>
      </c>
      <c r="E275" t="s">
        <v>131</v>
      </c>
      <c r="F275" s="2">
        <v>80</v>
      </c>
    </row>
    <row r="276" spans="1:6">
      <c r="A276" s="1">
        <v>43492</v>
      </c>
      <c r="B276" t="s">
        <v>422</v>
      </c>
      <c r="C276" t="s">
        <v>138</v>
      </c>
      <c r="D276" t="s">
        <v>159</v>
      </c>
      <c r="E276" t="s">
        <v>153</v>
      </c>
      <c r="F276" s="2">
        <v>150</v>
      </c>
    </row>
    <row r="277" spans="1:6">
      <c r="A277" s="1">
        <v>43492</v>
      </c>
      <c r="B277" t="s">
        <v>423</v>
      </c>
      <c r="C277" t="s">
        <v>119</v>
      </c>
      <c r="D277" t="s">
        <v>126</v>
      </c>
      <c r="E277" t="s">
        <v>121</v>
      </c>
      <c r="F277" s="2">
        <v>160</v>
      </c>
    </row>
    <row r="278" spans="1:6">
      <c r="A278" s="1">
        <v>43492</v>
      </c>
      <c r="B278" t="s">
        <v>424</v>
      </c>
      <c r="C278" t="s">
        <v>138</v>
      </c>
      <c r="D278" t="s">
        <v>139</v>
      </c>
      <c r="E278" t="s">
        <v>153</v>
      </c>
      <c r="F278" s="2">
        <v>80</v>
      </c>
    </row>
    <row r="279" spans="1:6">
      <c r="A279" s="1">
        <v>43492</v>
      </c>
      <c r="B279" t="s">
        <v>425</v>
      </c>
      <c r="C279" t="s">
        <v>182</v>
      </c>
      <c r="D279" t="s">
        <v>159</v>
      </c>
      <c r="E279" t="s">
        <v>121</v>
      </c>
      <c r="F279" s="2">
        <v>150</v>
      </c>
    </row>
    <row r="280" spans="1:6">
      <c r="A280" s="1">
        <v>43492</v>
      </c>
      <c r="B280" t="s">
        <v>426</v>
      </c>
      <c r="C280" t="s">
        <v>164</v>
      </c>
      <c r="D280" t="s">
        <v>141</v>
      </c>
      <c r="E280" t="s">
        <v>131</v>
      </c>
      <c r="F280" s="2">
        <v>180</v>
      </c>
    </row>
    <row r="281" spans="1:6">
      <c r="A281" s="1">
        <v>43492</v>
      </c>
      <c r="B281" t="s">
        <v>427</v>
      </c>
      <c r="C281" t="s">
        <v>138</v>
      </c>
      <c r="D281" t="s">
        <v>139</v>
      </c>
      <c r="E281" t="s">
        <v>127</v>
      </c>
      <c r="F281" s="2">
        <v>80</v>
      </c>
    </row>
    <row r="282" spans="1:6">
      <c r="A282" s="1">
        <v>43492</v>
      </c>
      <c r="B282" t="s">
        <v>428</v>
      </c>
      <c r="C282" t="s">
        <v>223</v>
      </c>
      <c r="D282" t="s">
        <v>141</v>
      </c>
      <c r="E282" t="s">
        <v>153</v>
      </c>
      <c r="F282" s="2">
        <v>180</v>
      </c>
    </row>
    <row r="283" spans="1:6">
      <c r="A283" s="1">
        <v>43492</v>
      </c>
      <c r="B283" t="s">
        <v>429</v>
      </c>
      <c r="C283" t="s">
        <v>143</v>
      </c>
      <c r="D283" t="s">
        <v>130</v>
      </c>
      <c r="E283" t="s">
        <v>153</v>
      </c>
      <c r="F283" s="2">
        <v>100</v>
      </c>
    </row>
    <row r="284" spans="1:6">
      <c r="A284" s="1">
        <v>43492</v>
      </c>
      <c r="B284" t="s">
        <v>430</v>
      </c>
      <c r="C284" t="s">
        <v>152</v>
      </c>
      <c r="D284" t="s">
        <v>120</v>
      </c>
      <c r="E284" t="s">
        <v>121</v>
      </c>
      <c r="F284" s="2">
        <v>90</v>
      </c>
    </row>
    <row r="285" spans="1:6">
      <c r="A285" s="1">
        <v>43492</v>
      </c>
      <c r="B285" t="s">
        <v>431</v>
      </c>
      <c r="C285" t="s">
        <v>129</v>
      </c>
      <c r="D285" t="s">
        <v>159</v>
      </c>
      <c r="E285" t="s">
        <v>153</v>
      </c>
      <c r="F285" s="2">
        <v>150</v>
      </c>
    </row>
    <row r="286" spans="1:6">
      <c r="A286" s="1">
        <v>43492</v>
      </c>
      <c r="B286" t="s">
        <v>432</v>
      </c>
      <c r="C286" t="s">
        <v>167</v>
      </c>
      <c r="D286" t="s">
        <v>141</v>
      </c>
      <c r="E286" t="s">
        <v>153</v>
      </c>
      <c r="F286" s="2">
        <v>180</v>
      </c>
    </row>
    <row r="287" spans="1:6">
      <c r="A287" s="1">
        <v>43492</v>
      </c>
      <c r="B287" t="s">
        <v>433</v>
      </c>
      <c r="C287" t="s">
        <v>167</v>
      </c>
      <c r="D287" t="s">
        <v>139</v>
      </c>
      <c r="E287" t="s">
        <v>134</v>
      </c>
      <c r="F287" s="2">
        <v>80</v>
      </c>
    </row>
    <row r="288" spans="1:6">
      <c r="A288" s="1">
        <v>43493</v>
      </c>
      <c r="B288" t="s">
        <v>434</v>
      </c>
      <c r="C288" t="s">
        <v>223</v>
      </c>
      <c r="D288" t="s">
        <v>130</v>
      </c>
      <c r="E288" t="s">
        <v>153</v>
      </c>
      <c r="F288" s="2">
        <v>100</v>
      </c>
    </row>
    <row r="289" spans="1:6">
      <c r="A289" s="1">
        <v>43493</v>
      </c>
      <c r="B289" t="s">
        <v>435</v>
      </c>
      <c r="C289" t="s">
        <v>138</v>
      </c>
      <c r="D289" t="s">
        <v>139</v>
      </c>
      <c r="E289" t="s">
        <v>153</v>
      </c>
      <c r="F289" s="2">
        <v>80</v>
      </c>
    </row>
    <row r="290" spans="1:6">
      <c r="A290" s="1">
        <v>43493</v>
      </c>
      <c r="B290" t="s">
        <v>436</v>
      </c>
      <c r="C290" t="s">
        <v>138</v>
      </c>
      <c r="D290" t="s">
        <v>159</v>
      </c>
      <c r="E290" t="s">
        <v>131</v>
      </c>
      <c r="F290" s="2">
        <v>150</v>
      </c>
    </row>
    <row r="291" spans="1:6">
      <c r="A291" s="1">
        <v>43493</v>
      </c>
      <c r="B291" t="s">
        <v>437</v>
      </c>
      <c r="C291" t="s">
        <v>189</v>
      </c>
      <c r="D291" t="s">
        <v>120</v>
      </c>
      <c r="E291" t="s">
        <v>127</v>
      </c>
      <c r="F291" s="2">
        <v>90</v>
      </c>
    </row>
    <row r="292" spans="1:6">
      <c r="A292" s="1">
        <v>43493</v>
      </c>
      <c r="B292" t="s">
        <v>438</v>
      </c>
      <c r="C292" t="s">
        <v>129</v>
      </c>
      <c r="D292" t="s">
        <v>120</v>
      </c>
      <c r="E292" t="s">
        <v>131</v>
      </c>
      <c r="F292" s="2">
        <v>90</v>
      </c>
    </row>
    <row r="293" spans="1:6">
      <c r="A293" s="1">
        <v>43493</v>
      </c>
      <c r="B293" t="s">
        <v>439</v>
      </c>
      <c r="C293" t="s">
        <v>167</v>
      </c>
      <c r="D293" t="s">
        <v>120</v>
      </c>
      <c r="E293" t="s">
        <v>127</v>
      </c>
      <c r="F293" s="2">
        <v>90</v>
      </c>
    </row>
    <row r="294" spans="1:6">
      <c r="A294" s="1">
        <v>43494</v>
      </c>
      <c r="B294" t="s">
        <v>440</v>
      </c>
      <c r="C294" t="s">
        <v>129</v>
      </c>
      <c r="D294" t="s">
        <v>139</v>
      </c>
      <c r="E294" t="s">
        <v>153</v>
      </c>
      <c r="F294" s="2">
        <v>80</v>
      </c>
    </row>
    <row r="295" spans="1:6">
      <c r="A295" s="1">
        <v>43494</v>
      </c>
      <c r="B295" t="s">
        <v>441</v>
      </c>
      <c r="C295" t="s">
        <v>138</v>
      </c>
      <c r="D295" t="s">
        <v>133</v>
      </c>
      <c r="E295" t="s">
        <v>134</v>
      </c>
      <c r="F295" s="2">
        <v>30</v>
      </c>
    </row>
    <row r="296" spans="1:6">
      <c r="A296" s="1">
        <v>43494</v>
      </c>
      <c r="B296" t="s">
        <v>442</v>
      </c>
      <c r="C296" t="s">
        <v>157</v>
      </c>
      <c r="D296" t="s">
        <v>141</v>
      </c>
      <c r="E296" t="s">
        <v>121</v>
      </c>
      <c r="F296" s="2">
        <v>180</v>
      </c>
    </row>
    <row r="297" spans="1:6">
      <c r="A297" s="1">
        <v>43494</v>
      </c>
      <c r="B297" t="s">
        <v>443</v>
      </c>
      <c r="C297" t="s">
        <v>145</v>
      </c>
      <c r="D297" t="s">
        <v>120</v>
      </c>
      <c r="E297" t="s">
        <v>153</v>
      </c>
      <c r="F297" s="2">
        <v>90</v>
      </c>
    </row>
    <row r="298" spans="1:6">
      <c r="A298" s="1">
        <v>43494</v>
      </c>
      <c r="B298" t="s">
        <v>444</v>
      </c>
      <c r="C298" t="s">
        <v>138</v>
      </c>
      <c r="D298" t="s">
        <v>159</v>
      </c>
      <c r="E298" t="s">
        <v>134</v>
      </c>
      <c r="F298" s="2">
        <v>150</v>
      </c>
    </row>
    <row r="299" spans="1:6">
      <c r="A299" s="1">
        <v>43494</v>
      </c>
      <c r="B299" t="s">
        <v>445</v>
      </c>
      <c r="C299" t="s">
        <v>152</v>
      </c>
      <c r="D299" t="s">
        <v>159</v>
      </c>
      <c r="E299" t="s">
        <v>127</v>
      </c>
      <c r="F299" s="2">
        <v>150</v>
      </c>
    </row>
    <row r="300" spans="1:6">
      <c r="A300" s="1">
        <v>43494</v>
      </c>
      <c r="B300" t="s">
        <v>446</v>
      </c>
      <c r="C300" t="s">
        <v>223</v>
      </c>
      <c r="D300" t="s">
        <v>130</v>
      </c>
      <c r="E300" t="s">
        <v>134</v>
      </c>
      <c r="F300" s="2">
        <v>100</v>
      </c>
    </row>
    <row r="301" spans="1:6">
      <c r="A301" s="1">
        <v>43494</v>
      </c>
      <c r="B301" t="s">
        <v>447</v>
      </c>
      <c r="C301" t="s">
        <v>119</v>
      </c>
      <c r="D301" t="s">
        <v>126</v>
      </c>
      <c r="E301" t="s">
        <v>131</v>
      </c>
      <c r="F301" s="2">
        <v>160</v>
      </c>
    </row>
    <row r="302" spans="1:6">
      <c r="A302" s="1">
        <v>43494</v>
      </c>
      <c r="B302" t="s">
        <v>448</v>
      </c>
      <c r="C302" t="s">
        <v>129</v>
      </c>
      <c r="D302" t="s">
        <v>133</v>
      </c>
      <c r="E302" t="s">
        <v>121</v>
      </c>
      <c r="F302" s="2">
        <v>30</v>
      </c>
    </row>
    <row r="303" spans="1:6">
      <c r="A303" s="1">
        <v>43495</v>
      </c>
      <c r="B303" t="s">
        <v>449</v>
      </c>
      <c r="C303" t="s">
        <v>145</v>
      </c>
      <c r="D303" t="s">
        <v>159</v>
      </c>
      <c r="E303" t="s">
        <v>131</v>
      </c>
      <c r="F303" s="2">
        <v>150</v>
      </c>
    </row>
    <row r="304" spans="1:6">
      <c r="A304" s="1">
        <v>43495</v>
      </c>
      <c r="B304" t="s">
        <v>450</v>
      </c>
      <c r="C304" t="s">
        <v>138</v>
      </c>
      <c r="D304" t="s">
        <v>141</v>
      </c>
      <c r="E304" t="s">
        <v>153</v>
      </c>
      <c r="F304" s="2">
        <v>180</v>
      </c>
    </row>
    <row r="305" spans="1:6">
      <c r="A305" s="1">
        <v>43495</v>
      </c>
      <c r="B305" t="s">
        <v>451</v>
      </c>
      <c r="C305" t="s">
        <v>223</v>
      </c>
      <c r="D305" t="s">
        <v>146</v>
      </c>
      <c r="E305" t="s">
        <v>153</v>
      </c>
      <c r="F305" s="2">
        <v>50</v>
      </c>
    </row>
    <row r="306" spans="1:6">
      <c r="A306" s="1">
        <v>43495</v>
      </c>
      <c r="B306" t="s">
        <v>452</v>
      </c>
      <c r="C306" t="s">
        <v>123</v>
      </c>
      <c r="D306" t="s">
        <v>130</v>
      </c>
      <c r="E306" t="s">
        <v>153</v>
      </c>
      <c r="F306" s="2">
        <v>100</v>
      </c>
    </row>
    <row r="307" spans="1:6">
      <c r="A307" s="1">
        <v>43495</v>
      </c>
      <c r="B307" t="s">
        <v>453</v>
      </c>
      <c r="C307" t="s">
        <v>182</v>
      </c>
      <c r="D307" t="s">
        <v>120</v>
      </c>
      <c r="E307" t="s">
        <v>134</v>
      </c>
      <c r="F307" s="2">
        <v>90</v>
      </c>
    </row>
    <row r="308" spans="1:6">
      <c r="A308" s="1">
        <v>43495</v>
      </c>
      <c r="B308" t="s">
        <v>454</v>
      </c>
      <c r="C308" t="s">
        <v>167</v>
      </c>
      <c r="D308" t="s">
        <v>126</v>
      </c>
      <c r="E308" t="s">
        <v>153</v>
      </c>
      <c r="F308" s="2">
        <v>160</v>
      </c>
    </row>
    <row r="309" spans="1:6">
      <c r="A309" s="1">
        <v>43495</v>
      </c>
      <c r="B309" t="s">
        <v>455</v>
      </c>
      <c r="C309" t="s">
        <v>148</v>
      </c>
      <c r="D309" t="s">
        <v>130</v>
      </c>
      <c r="E309" t="s">
        <v>131</v>
      </c>
      <c r="F309" s="2">
        <v>100</v>
      </c>
    </row>
    <row r="310" spans="1:6">
      <c r="A310" s="1">
        <v>43495</v>
      </c>
      <c r="B310" t="s">
        <v>456</v>
      </c>
      <c r="C310" t="s">
        <v>129</v>
      </c>
      <c r="D310" t="s">
        <v>126</v>
      </c>
      <c r="E310" t="s">
        <v>121</v>
      </c>
      <c r="F310" s="2">
        <v>160</v>
      </c>
    </row>
    <row r="311" spans="1:6">
      <c r="A311" s="1">
        <v>43495</v>
      </c>
      <c r="B311" t="s">
        <v>457</v>
      </c>
      <c r="C311" t="s">
        <v>189</v>
      </c>
      <c r="D311" t="s">
        <v>120</v>
      </c>
      <c r="E311" t="s">
        <v>127</v>
      </c>
      <c r="F311" s="2">
        <v>90</v>
      </c>
    </row>
    <row r="312" spans="1:6">
      <c r="A312" s="1">
        <v>43495</v>
      </c>
      <c r="B312" t="s">
        <v>458</v>
      </c>
      <c r="C312" t="s">
        <v>167</v>
      </c>
      <c r="D312" t="s">
        <v>159</v>
      </c>
      <c r="E312" t="s">
        <v>121</v>
      </c>
      <c r="F312" s="2">
        <v>150</v>
      </c>
    </row>
    <row r="313" spans="1:6">
      <c r="A313" s="1">
        <v>43495</v>
      </c>
      <c r="B313" t="s">
        <v>459</v>
      </c>
      <c r="C313" t="s">
        <v>223</v>
      </c>
      <c r="D313" t="s">
        <v>139</v>
      </c>
      <c r="E313" t="s">
        <v>153</v>
      </c>
      <c r="F313" s="2">
        <v>80</v>
      </c>
    </row>
    <row r="314" spans="1:6">
      <c r="A314" s="1">
        <v>43495</v>
      </c>
      <c r="B314" t="s">
        <v>460</v>
      </c>
      <c r="C314" t="s">
        <v>189</v>
      </c>
      <c r="D314" t="s">
        <v>133</v>
      </c>
      <c r="E314" t="s">
        <v>121</v>
      </c>
      <c r="F314" s="2">
        <v>30</v>
      </c>
    </row>
    <row r="315" spans="1:6">
      <c r="A315" s="1">
        <v>43495</v>
      </c>
      <c r="B315" t="s">
        <v>461</v>
      </c>
      <c r="C315" t="s">
        <v>182</v>
      </c>
      <c r="D315" t="s">
        <v>159</v>
      </c>
      <c r="E315" t="s">
        <v>153</v>
      </c>
      <c r="F315" s="2">
        <v>150</v>
      </c>
    </row>
    <row r="316" spans="1:6">
      <c r="A316" s="1">
        <v>43495</v>
      </c>
      <c r="B316" t="s">
        <v>462</v>
      </c>
      <c r="C316" t="s">
        <v>145</v>
      </c>
      <c r="D316" t="s">
        <v>133</v>
      </c>
      <c r="E316" t="s">
        <v>131</v>
      </c>
      <c r="F316" s="2">
        <v>30</v>
      </c>
    </row>
    <row r="317" spans="1:6">
      <c r="A317" s="1">
        <v>43495</v>
      </c>
      <c r="B317" t="s">
        <v>463</v>
      </c>
      <c r="C317" t="s">
        <v>129</v>
      </c>
      <c r="D317" t="s">
        <v>159</v>
      </c>
      <c r="E317" t="s">
        <v>131</v>
      </c>
      <c r="F317" s="2">
        <v>150</v>
      </c>
    </row>
    <row r="318" spans="1:6">
      <c r="A318" s="1">
        <v>43496</v>
      </c>
      <c r="B318" t="s">
        <v>464</v>
      </c>
      <c r="C318" t="s">
        <v>138</v>
      </c>
      <c r="D318" t="s">
        <v>130</v>
      </c>
      <c r="E318" t="s">
        <v>134</v>
      </c>
      <c r="F318" s="2">
        <v>100</v>
      </c>
    </row>
    <row r="319" spans="1:6">
      <c r="A319" s="1">
        <v>43496</v>
      </c>
      <c r="B319" t="s">
        <v>465</v>
      </c>
      <c r="C319" t="s">
        <v>157</v>
      </c>
      <c r="D319" t="s">
        <v>133</v>
      </c>
      <c r="E319" t="s">
        <v>134</v>
      </c>
      <c r="F319" s="2">
        <v>30</v>
      </c>
    </row>
    <row r="320" spans="1:6">
      <c r="A320" s="1">
        <v>43496</v>
      </c>
      <c r="B320" t="s">
        <v>466</v>
      </c>
      <c r="C320" t="s">
        <v>164</v>
      </c>
      <c r="D320" t="s">
        <v>139</v>
      </c>
      <c r="E320" t="s">
        <v>121</v>
      </c>
      <c r="F320" s="2">
        <v>80</v>
      </c>
    </row>
    <row r="321" spans="1:6">
      <c r="A321" s="1">
        <v>43496</v>
      </c>
      <c r="B321" t="s">
        <v>467</v>
      </c>
      <c r="C321" t="s">
        <v>145</v>
      </c>
      <c r="D321" t="s">
        <v>120</v>
      </c>
      <c r="E321" t="s">
        <v>153</v>
      </c>
      <c r="F321" s="2">
        <v>90</v>
      </c>
    </row>
    <row r="322" spans="1:6">
      <c r="A322" s="1">
        <v>43496</v>
      </c>
      <c r="B322" t="s">
        <v>468</v>
      </c>
      <c r="C322" t="s">
        <v>189</v>
      </c>
      <c r="D322" t="s">
        <v>130</v>
      </c>
      <c r="E322" t="s">
        <v>153</v>
      </c>
      <c r="F322" s="2">
        <v>100</v>
      </c>
    </row>
    <row r="323" spans="1:6">
      <c r="A323" s="1">
        <v>43496</v>
      </c>
      <c r="B323" t="s">
        <v>469</v>
      </c>
      <c r="C323" t="s">
        <v>187</v>
      </c>
      <c r="D323" t="s">
        <v>141</v>
      </c>
      <c r="E323" t="s">
        <v>153</v>
      </c>
      <c r="F323" s="2">
        <v>180</v>
      </c>
    </row>
    <row r="324" spans="1:6">
      <c r="A324" s="1">
        <v>43497</v>
      </c>
      <c r="B324" t="s">
        <v>470</v>
      </c>
      <c r="C324" t="s">
        <v>119</v>
      </c>
      <c r="D324" t="s">
        <v>133</v>
      </c>
      <c r="E324" t="s">
        <v>127</v>
      </c>
      <c r="F324" s="2">
        <v>30</v>
      </c>
    </row>
    <row r="325" spans="1:6">
      <c r="A325" s="1">
        <v>43497</v>
      </c>
      <c r="B325" t="s">
        <v>471</v>
      </c>
      <c r="C325" t="s">
        <v>145</v>
      </c>
      <c r="D325" t="s">
        <v>146</v>
      </c>
      <c r="E325" t="s">
        <v>121</v>
      </c>
      <c r="F325" s="2">
        <v>50</v>
      </c>
    </row>
    <row r="326" spans="1:6">
      <c r="A326" s="1">
        <v>43497</v>
      </c>
      <c r="B326" t="s">
        <v>472</v>
      </c>
      <c r="C326" t="s">
        <v>148</v>
      </c>
      <c r="D326" t="s">
        <v>159</v>
      </c>
      <c r="E326" t="s">
        <v>134</v>
      </c>
      <c r="F326" s="2">
        <v>150</v>
      </c>
    </row>
    <row r="327" spans="1:6">
      <c r="A327" s="1">
        <v>43497</v>
      </c>
      <c r="B327" t="s">
        <v>473</v>
      </c>
      <c r="C327" t="s">
        <v>143</v>
      </c>
      <c r="D327" t="s">
        <v>130</v>
      </c>
      <c r="E327" t="s">
        <v>131</v>
      </c>
      <c r="F327" s="2">
        <v>100</v>
      </c>
    </row>
    <row r="328" spans="1:6">
      <c r="A328" s="1">
        <v>43497</v>
      </c>
      <c r="B328" t="s">
        <v>474</v>
      </c>
      <c r="C328" t="s">
        <v>143</v>
      </c>
      <c r="D328" t="s">
        <v>146</v>
      </c>
      <c r="E328" t="s">
        <v>127</v>
      </c>
      <c r="F328" s="2">
        <v>50</v>
      </c>
    </row>
    <row r="329" spans="1:6">
      <c r="A329" s="1">
        <v>43498</v>
      </c>
      <c r="B329" t="s">
        <v>475</v>
      </c>
      <c r="C329" t="s">
        <v>123</v>
      </c>
      <c r="D329" t="s">
        <v>159</v>
      </c>
      <c r="E329" t="s">
        <v>127</v>
      </c>
      <c r="F329" s="2">
        <v>150</v>
      </c>
    </row>
    <row r="330" spans="1:6">
      <c r="A330" s="1">
        <v>43498</v>
      </c>
      <c r="B330" t="s">
        <v>476</v>
      </c>
      <c r="C330" t="s">
        <v>143</v>
      </c>
      <c r="D330" t="s">
        <v>159</v>
      </c>
      <c r="E330" t="s">
        <v>127</v>
      </c>
      <c r="F330" s="2">
        <v>150</v>
      </c>
    </row>
    <row r="331" spans="1:6">
      <c r="A331" s="1">
        <v>43498</v>
      </c>
      <c r="B331" t="s">
        <v>477</v>
      </c>
      <c r="C331" t="s">
        <v>223</v>
      </c>
      <c r="D331" t="s">
        <v>139</v>
      </c>
      <c r="E331" t="s">
        <v>153</v>
      </c>
      <c r="F331" s="2">
        <v>80</v>
      </c>
    </row>
    <row r="332" spans="1:6">
      <c r="A332" s="1">
        <v>43498</v>
      </c>
      <c r="B332" t="s">
        <v>478</v>
      </c>
      <c r="C332" t="s">
        <v>145</v>
      </c>
      <c r="D332" t="s">
        <v>130</v>
      </c>
      <c r="E332" t="s">
        <v>131</v>
      </c>
      <c r="F332" s="2">
        <v>100</v>
      </c>
    </row>
    <row r="333" spans="1:6">
      <c r="A333" s="1">
        <v>43498</v>
      </c>
      <c r="B333" t="s">
        <v>479</v>
      </c>
      <c r="C333" t="s">
        <v>157</v>
      </c>
      <c r="D333" t="s">
        <v>139</v>
      </c>
      <c r="E333" t="s">
        <v>134</v>
      </c>
      <c r="F333" s="2">
        <v>80</v>
      </c>
    </row>
    <row r="334" spans="1:6">
      <c r="A334" s="1">
        <v>43498</v>
      </c>
      <c r="B334" t="s">
        <v>480</v>
      </c>
      <c r="C334" t="s">
        <v>136</v>
      </c>
      <c r="D334" t="s">
        <v>146</v>
      </c>
      <c r="E334" t="s">
        <v>127</v>
      </c>
      <c r="F334" s="2">
        <v>50</v>
      </c>
    </row>
    <row r="335" spans="1:6">
      <c r="A335" s="1">
        <v>43498</v>
      </c>
      <c r="B335" t="s">
        <v>481</v>
      </c>
      <c r="C335" t="s">
        <v>129</v>
      </c>
      <c r="D335" t="s">
        <v>146</v>
      </c>
      <c r="E335" t="s">
        <v>127</v>
      </c>
      <c r="F335" s="2">
        <v>50</v>
      </c>
    </row>
    <row r="336" spans="1:6">
      <c r="A336" s="1">
        <v>43498</v>
      </c>
      <c r="B336" t="s">
        <v>482</v>
      </c>
      <c r="C336" t="s">
        <v>129</v>
      </c>
      <c r="D336" t="s">
        <v>141</v>
      </c>
      <c r="E336" t="s">
        <v>134</v>
      </c>
      <c r="F336" s="2">
        <v>180</v>
      </c>
    </row>
    <row r="337" spans="1:6">
      <c r="A337" s="1">
        <v>43499</v>
      </c>
      <c r="B337" t="s">
        <v>483</v>
      </c>
      <c r="C337" t="s">
        <v>125</v>
      </c>
      <c r="D337" t="s">
        <v>159</v>
      </c>
      <c r="E337" t="s">
        <v>131</v>
      </c>
      <c r="F337" s="2">
        <v>150</v>
      </c>
    </row>
    <row r="338" spans="1:6">
      <c r="A338" s="1">
        <v>43499</v>
      </c>
      <c r="B338" t="s">
        <v>484</v>
      </c>
      <c r="C338" t="s">
        <v>145</v>
      </c>
      <c r="D338" t="s">
        <v>159</v>
      </c>
      <c r="E338" t="s">
        <v>134</v>
      </c>
      <c r="F338" s="2">
        <v>150</v>
      </c>
    </row>
    <row r="339" spans="1:6">
      <c r="A339" s="1">
        <v>43499</v>
      </c>
      <c r="B339" t="s">
        <v>485</v>
      </c>
      <c r="C339" t="s">
        <v>189</v>
      </c>
      <c r="D339" t="s">
        <v>133</v>
      </c>
      <c r="E339" t="s">
        <v>153</v>
      </c>
      <c r="F339" s="2">
        <v>30</v>
      </c>
    </row>
    <row r="340" spans="1:6">
      <c r="A340" s="1">
        <v>43499</v>
      </c>
      <c r="B340" t="s">
        <v>486</v>
      </c>
      <c r="C340" t="s">
        <v>223</v>
      </c>
      <c r="D340" t="s">
        <v>139</v>
      </c>
      <c r="E340" t="s">
        <v>127</v>
      </c>
      <c r="F340" s="2">
        <v>80</v>
      </c>
    </row>
    <row r="341" spans="1:6">
      <c r="A341" s="1">
        <v>43499</v>
      </c>
      <c r="B341" t="s">
        <v>487</v>
      </c>
      <c r="C341" t="s">
        <v>157</v>
      </c>
      <c r="D341" t="s">
        <v>139</v>
      </c>
      <c r="E341" t="s">
        <v>153</v>
      </c>
      <c r="F341" s="2">
        <v>80</v>
      </c>
    </row>
    <row r="342" spans="1:6">
      <c r="A342" s="1">
        <v>43499</v>
      </c>
      <c r="B342" t="s">
        <v>488</v>
      </c>
      <c r="C342" t="s">
        <v>182</v>
      </c>
      <c r="D342" t="s">
        <v>130</v>
      </c>
      <c r="E342" t="s">
        <v>153</v>
      </c>
      <c r="F342" s="2">
        <v>100</v>
      </c>
    </row>
    <row r="343" spans="1:6">
      <c r="A343" s="1">
        <v>43499</v>
      </c>
      <c r="B343" t="s">
        <v>489</v>
      </c>
      <c r="C343" t="s">
        <v>125</v>
      </c>
      <c r="D343" t="s">
        <v>130</v>
      </c>
      <c r="E343" t="s">
        <v>127</v>
      </c>
      <c r="F343" s="2">
        <v>100</v>
      </c>
    </row>
    <row r="344" spans="1:6">
      <c r="A344" s="1">
        <v>43499</v>
      </c>
      <c r="B344" t="s">
        <v>490</v>
      </c>
      <c r="C344" t="s">
        <v>138</v>
      </c>
      <c r="D344" t="s">
        <v>139</v>
      </c>
      <c r="E344" t="s">
        <v>127</v>
      </c>
      <c r="F344" s="2">
        <v>80</v>
      </c>
    </row>
    <row r="345" spans="1:6">
      <c r="A345" s="1">
        <v>43500</v>
      </c>
      <c r="B345" t="s">
        <v>491</v>
      </c>
      <c r="C345" t="s">
        <v>148</v>
      </c>
      <c r="D345" t="s">
        <v>159</v>
      </c>
      <c r="E345" t="s">
        <v>134</v>
      </c>
      <c r="F345" s="2">
        <v>150</v>
      </c>
    </row>
    <row r="346" spans="1:6">
      <c r="A346" s="1">
        <v>43500</v>
      </c>
      <c r="B346" t="s">
        <v>492</v>
      </c>
      <c r="C346" t="s">
        <v>136</v>
      </c>
      <c r="D346" t="s">
        <v>126</v>
      </c>
      <c r="E346" t="s">
        <v>153</v>
      </c>
      <c r="F346" s="2">
        <v>160</v>
      </c>
    </row>
    <row r="347" spans="1:6">
      <c r="A347" s="1">
        <v>43500</v>
      </c>
      <c r="B347" t="s">
        <v>493</v>
      </c>
      <c r="C347" t="s">
        <v>187</v>
      </c>
      <c r="D347" t="s">
        <v>139</v>
      </c>
      <c r="E347" t="s">
        <v>131</v>
      </c>
      <c r="F347" s="2">
        <v>80</v>
      </c>
    </row>
    <row r="348" spans="1:6">
      <c r="A348" s="1">
        <v>43500</v>
      </c>
      <c r="B348" t="s">
        <v>494</v>
      </c>
      <c r="C348" t="s">
        <v>182</v>
      </c>
      <c r="D348" t="s">
        <v>126</v>
      </c>
      <c r="E348" t="s">
        <v>134</v>
      </c>
      <c r="F348" s="2">
        <v>160</v>
      </c>
    </row>
    <row r="349" spans="1:6">
      <c r="A349" s="1">
        <v>43500</v>
      </c>
      <c r="B349" t="s">
        <v>495</v>
      </c>
      <c r="C349" t="s">
        <v>123</v>
      </c>
      <c r="D349" t="s">
        <v>126</v>
      </c>
      <c r="E349" t="s">
        <v>121</v>
      </c>
      <c r="F349" s="2">
        <v>160</v>
      </c>
    </row>
    <row r="350" spans="1:6">
      <c r="A350" s="1">
        <v>43500</v>
      </c>
      <c r="B350" t="s">
        <v>496</v>
      </c>
      <c r="C350" t="s">
        <v>187</v>
      </c>
      <c r="D350" t="s">
        <v>133</v>
      </c>
      <c r="E350" t="s">
        <v>127</v>
      </c>
      <c r="F350" s="2">
        <v>30</v>
      </c>
    </row>
    <row r="351" spans="1:6">
      <c r="A351" s="1">
        <v>43501</v>
      </c>
      <c r="B351" t="s">
        <v>497</v>
      </c>
      <c r="C351" t="s">
        <v>119</v>
      </c>
      <c r="D351" t="s">
        <v>139</v>
      </c>
      <c r="E351" t="s">
        <v>153</v>
      </c>
      <c r="F351" s="2">
        <v>80</v>
      </c>
    </row>
    <row r="352" spans="1:6">
      <c r="A352" s="1">
        <v>43501</v>
      </c>
      <c r="B352" t="s">
        <v>498</v>
      </c>
      <c r="C352" t="s">
        <v>187</v>
      </c>
      <c r="D352" t="s">
        <v>146</v>
      </c>
      <c r="E352" t="s">
        <v>131</v>
      </c>
      <c r="F352" s="2">
        <v>50</v>
      </c>
    </row>
    <row r="353" spans="1:6">
      <c r="A353" s="1">
        <v>43501</v>
      </c>
      <c r="B353" t="s">
        <v>499</v>
      </c>
      <c r="C353" t="s">
        <v>223</v>
      </c>
      <c r="D353" t="s">
        <v>133</v>
      </c>
      <c r="E353" t="s">
        <v>131</v>
      </c>
      <c r="F353" s="2">
        <v>30</v>
      </c>
    </row>
    <row r="354" spans="1:6">
      <c r="A354" s="1">
        <v>43501</v>
      </c>
      <c r="B354" t="s">
        <v>500</v>
      </c>
      <c r="C354" t="s">
        <v>136</v>
      </c>
      <c r="D354" t="s">
        <v>146</v>
      </c>
      <c r="E354" t="s">
        <v>153</v>
      </c>
      <c r="F354" s="2">
        <v>50</v>
      </c>
    </row>
    <row r="355" spans="1:6">
      <c r="A355" s="1">
        <v>43501</v>
      </c>
      <c r="B355" t="s">
        <v>501</v>
      </c>
      <c r="C355" t="s">
        <v>189</v>
      </c>
      <c r="D355" t="s">
        <v>126</v>
      </c>
      <c r="E355" t="s">
        <v>153</v>
      </c>
      <c r="F355" s="2">
        <v>160</v>
      </c>
    </row>
    <row r="356" spans="1:6">
      <c r="A356" s="1">
        <v>43501</v>
      </c>
      <c r="B356" t="s">
        <v>502</v>
      </c>
      <c r="C356" t="s">
        <v>138</v>
      </c>
      <c r="D356" t="s">
        <v>146</v>
      </c>
      <c r="E356" t="s">
        <v>134</v>
      </c>
      <c r="F356" s="2">
        <v>50</v>
      </c>
    </row>
    <row r="357" spans="1:6">
      <c r="A357" s="1">
        <v>43501</v>
      </c>
      <c r="B357" t="s">
        <v>503</v>
      </c>
      <c r="C357" t="s">
        <v>187</v>
      </c>
      <c r="D357" t="s">
        <v>139</v>
      </c>
      <c r="E357" t="s">
        <v>131</v>
      </c>
      <c r="F357" s="2">
        <v>80</v>
      </c>
    </row>
    <row r="358" spans="1:6">
      <c r="A358" s="1">
        <v>43502</v>
      </c>
      <c r="B358" t="s">
        <v>504</v>
      </c>
      <c r="C358" t="s">
        <v>136</v>
      </c>
      <c r="D358" t="s">
        <v>159</v>
      </c>
      <c r="E358" t="s">
        <v>134</v>
      </c>
      <c r="F358" s="2">
        <v>150</v>
      </c>
    </row>
    <row r="359" spans="1:6">
      <c r="A359" s="1">
        <v>43502</v>
      </c>
      <c r="B359" t="s">
        <v>505</v>
      </c>
      <c r="C359" t="s">
        <v>125</v>
      </c>
      <c r="D359" t="s">
        <v>141</v>
      </c>
      <c r="E359" t="s">
        <v>131</v>
      </c>
      <c r="F359" s="2">
        <v>180</v>
      </c>
    </row>
    <row r="360" spans="1:6">
      <c r="A360" s="1">
        <v>43502</v>
      </c>
      <c r="B360" t="s">
        <v>506</v>
      </c>
      <c r="C360" t="s">
        <v>187</v>
      </c>
      <c r="D360" t="s">
        <v>126</v>
      </c>
      <c r="E360" t="s">
        <v>121</v>
      </c>
      <c r="F360" s="2">
        <v>160</v>
      </c>
    </row>
    <row r="361" spans="1:6">
      <c r="A361" s="1">
        <v>43502</v>
      </c>
      <c r="B361" t="s">
        <v>507</v>
      </c>
      <c r="C361" t="s">
        <v>136</v>
      </c>
      <c r="D361" t="s">
        <v>126</v>
      </c>
      <c r="E361" t="s">
        <v>127</v>
      </c>
      <c r="F361" s="2">
        <v>160</v>
      </c>
    </row>
    <row r="362" spans="1:6">
      <c r="A362" s="1">
        <v>43502</v>
      </c>
      <c r="B362" t="s">
        <v>508</v>
      </c>
      <c r="C362" t="s">
        <v>167</v>
      </c>
      <c r="D362" t="s">
        <v>141</v>
      </c>
      <c r="E362" t="s">
        <v>127</v>
      </c>
      <c r="F362" s="2">
        <v>180</v>
      </c>
    </row>
    <row r="363" spans="1:6">
      <c r="A363" s="1">
        <v>43502</v>
      </c>
      <c r="B363" t="s">
        <v>509</v>
      </c>
      <c r="C363" t="s">
        <v>152</v>
      </c>
      <c r="D363" t="s">
        <v>146</v>
      </c>
      <c r="E363" t="s">
        <v>153</v>
      </c>
      <c r="F363" s="2">
        <v>50</v>
      </c>
    </row>
    <row r="364" spans="1:6">
      <c r="A364" s="1">
        <v>43502</v>
      </c>
      <c r="B364" t="s">
        <v>510</v>
      </c>
      <c r="C364" t="s">
        <v>125</v>
      </c>
      <c r="D364" t="s">
        <v>146</v>
      </c>
      <c r="E364" t="s">
        <v>121</v>
      </c>
      <c r="F364" s="2">
        <v>50</v>
      </c>
    </row>
    <row r="365" spans="1:6">
      <c r="A365" s="1">
        <v>43502</v>
      </c>
      <c r="B365" t="s">
        <v>511</v>
      </c>
      <c r="C365" t="s">
        <v>123</v>
      </c>
      <c r="D365" t="s">
        <v>159</v>
      </c>
      <c r="E365" t="s">
        <v>134</v>
      </c>
      <c r="F365" s="2">
        <v>150</v>
      </c>
    </row>
    <row r="366" spans="1:6">
      <c r="A366" s="1">
        <v>43503</v>
      </c>
      <c r="B366" t="s">
        <v>512</v>
      </c>
      <c r="C366" t="s">
        <v>123</v>
      </c>
      <c r="D366" t="s">
        <v>133</v>
      </c>
      <c r="E366" t="s">
        <v>127</v>
      </c>
      <c r="F366" s="2">
        <v>30</v>
      </c>
    </row>
    <row r="367" spans="1:6">
      <c r="A367" s="1">
        <v>43503</v>
      </c>
      <c r="B367" t="s">
        <v>513</v>
      </c>
      <c r="C367" t="s">
        <v>119</v>
      </c>
      <c r="D367" t="s">
        <v>133</v>
      </c>
      <c r="E367" t="s">
        <v>121</v>
      </c>
      <c r="F367" s="2">
        <v>30</v>
      </c>
    </row>
    <row r="368" spans="1:6">
      <c r="A368" s="1">
        <v>43503</v>
      </c>
      <c r="B368" t="s">
        <v>514</v>
      </c>
      <c r="C368" t="s">
        <v>129</v>
      </c>
      <c r="D368" t="s">
        <v>141</v>
      </c>
      <c r="E368" t="s">
        <v>131</v>
      </c>
      <c r="F368" s="2">
        <v>180</v>
      </c>
    </row>
    <row r="369" spans="1:6">
      <c r="A369" s="1">
        <v>43503</v>
      </c>
      <c r="B369" t="s">
        <v>515</v>
      </c>
      <c r="C369" t="s">
        <v>167</v>
      </c>
      <c r="D369" t="s">
        <v>139</v>
      </c>
      <c r="E369" t="s">
        <v>153</v>
      </c>
      <c r="F369" s="2">
        <v>80</v>
      </c>
    </row>
    <row r="370" spans="1:6">
      <c r="A370" s="1">
        <v>43503</v>
      </c>
      <c r="B370" t="s">
        <v>516</v>
      </c>
      <c r="C370" t="s">
        <v>136</v>
      </c>
      <c r="D370" t="s">
        <v>130</v>
      </c>
      <c r="E370" t="s">
        <v>127</v>
      </c>
      <c r="F370" s="2">
        <v>100</v>
      </c>
    </row>
    <row r="371" spans="1:6">
      <c r="A371" s="1">
        <v>43503</v>
      </c>
      <c r="B371" t="s">
        <v>517</v>
      </c>
      <c r="C371" t="s">
        <v>152</v>
      </c>
      <c r="D371" t="s">
        <v>130</v>
      </c>
      <c r="E371" t="s">
        <v>121</v>
      </c>
      <c r="F371" s="2">
        <v>100</v>
      </c>
    </row>
    <row r="372" spans="1:6">
      <c r="A372" s="1">
        <v>43503</v>
      </c>
      <c r="B372" t="s">
        <v>518</v>
      </c>
      <c r="C372" t="s">
        <v>129</v>
      </c>
      <c r="D372" t="s">
        <v>133</v>
      </c>
      <c r="E372" t="s">
        <v>134</v>
      </c>
      <c r="F372" s="2">
        <v>30</v>
      </c>
    </row>
    <row r="373" spans="1:6">
      <c r="A373" s="1">
        <v>43503</v>
      </c>
      <c r="B373" t="s">
        <v>519</v>
      </c>
      <c r="C373" t="s">
        <v>167</v>
      </c>
      <c r="D373" t="s">
        <v>139</v>
      </c>
      <c r="E373" t="s">
        <v>134</v>
      </c>
      <c r="F373" s="2">
        <v>80</v>
      </c>
    </row>
    <row r="374" spans="1:6">
      <c r="A374" s="1">
        <v>43503</v>
      </c>
      <c r="B374" t="s">
        <v>520</v>
      </c>
      <c r="C374" t="s">
        <v>136</v>
      </c>
      <c r="D374" t="s">
        <v>120</v>
      </c>
      <c r="E374" t="s">
        <v>134</v>
      </c>
      <c r="F374" s="2">
        <v>90</v>
      </c>
    </row>
    <row r="375" spans="1:6">
      <c r="A375" s="1">
        <v>43503</v>
      </c>
      <c r="B375" t="s">
        <v>521</v>
      </c>
      <c r="C375" t="s">
        <v>157</v>
      </c>
      <c r="D375" t="s">
        <v>141</v>
      </c>
      <c r="E375" t="s">
        <v>121</v>
      </c>
      <c r="F375" s="2">
        <v>180</v>
      </c>
    </row>
    <row r="376" spans="1:6">
      <c r="A376" s="1">
        <v>43504</v>
      </c>
      <c r="B376" t="s">
        <v>522</v>
      </c>
      <c r="C376" t="s">
        <v>223</v>
      </c>
      <c r="D376" t="s">
        <v>146</v>
      </c>
      <c r="E376" t="s">
        <v>131</v>
      </c>
      <c r="F376" s="2">
        <v>50</v>
      </c>
    </row>
    <row r="377" spans="1:6">
      <c r="A377" s="1">
        <v>43504</v>
      </c>
      <c r="B377" t="s">
        <v>523</v>
      </c>
      <c r="C377" t="s">
        <v>189</v>
      </c>
      <c r="D377" t="s">
        <v>130</v>
      </c>
      <c r="E377" t="s">
        <v>134</v>
      </c>
      <c r="F377" s="2">
        <v>100</v>
      </c>
    </row>
    <row r="378" spans="1:6">
      <c r="A378" s="1">
        <v>43504</v>
      </c>
      <c r="B378" t="s">
        <v>524</v>
      </c>
      <c r="C378" t="s">
        <v>182</v>
      </c>
      <c r="D378" t="s">
        <v>120</v>
      </c>
      <c r="E378" t="s">
        <v>127</v>
      </c>
      <c r="F378" s="2">
        <v>90</v>
      </c>
    </row>
    <row r="379" spans="1:6">
      <c r="A379" s="1">
        <v>43504</v>
      </c>
      <c r="B379" t="s">
        <v>525</v>
      </c>
      <c r="C379" t="s">
        <v>119</v>
      </c>
      <c r="D379" t="s">
        <v>130</v>
      </c>
      <c r="E379" t="s">
        <v>153</v>
      </c>
      <c r="F379" s="2">
        <v>100</v>
      </c>
    </row>
    <row r="380" spans="1:6">
      <c r="A380" s="1">
        <v>43504</v>
      </c>
      <c r="B380" t="s">
        <v>526</v>
      </c>
      <c r="C380" t="s">
        <v>152</v>
      </c>
      <c r="D380" t="s">
        <v>120</v>
      </c>
      <c r="E380" t="s">
        <v>153</v>
      </c>
      <c r="F380" s="2">
        <v>90</v>
      </c>
    </row>
    <row r="381" spans="1:6">
      <c r="A381" s="1">
        <v>43504</v>
      </c>
      <c r="B381" t="s">
        <v>527</v>
      </c>
      <c r="C381" t="s">
        <v>125</v>
      </c>
      <c r="D381" t="s">
        <v>133</v>
      </c>
      <c r="E381" t="s">
        <v>153</v>
      </c>
      <c r="F381" s="2">
        <v>30</v>
      </c>
    </row>
    <row r="382" spans="1:6">
      <c r="A382" s="1">
        <v>43505</v>
      </c>
      <c r="B382" t="s">
        <v>528</v>
      </c>
      <c r="C382" t="s">
        <v>189</v>
      </c>
      <c r="D382" t="s">
        <v>159</v>
      </c>
      <c r="E382" t="s">
        <v>121</v>
      </c>
      <c r="F382" s="2">
        <v>150</v>
      </c>
    </row>
    <row r="383" spans="1:6">
      <c r="A383" s="1">
        <v>43505</v>
      </c>
      <c r="B383" t="s">
        <v>529</v>
      </c>
      <c r="C383" t="s">
        <v>164</v>
      </c>
      <c r="D383" t="s">
        <v>159</v>
      </c>
      <c r="E383" t="s">
        <v>131</v>
      </c>
      <c r="F383" s="2">
        <v>150</v>
      </c>
    </row>
    <row r="384" spans="1:6">
      <c r="A384" s="1">
        <v>43505</v>
      </c>
      <c r="B384" t="s">
        <v>530</v>
      </c>
      <c r="C384" t="s">
        <v>123</v>
      </c>
      <c r="D384" t="s">
        <v>139</v>
      </c>
      <c r="E384" t="s">
        <v>134</v>
      </c>
      <c r="F384" s="2">
        <v>80</v>
      </c>
    </row>
    <row r="385" spans="1:6">
      <c r="A385" s="1">
        <v>43505</v>
      </c>
      <c r="B385" t="s">
        <v>531</v>
      </c>
      <c r="C385" t="s">
        <v>223</v>
      </c>
      <c r="D385" t="s">
        <v>130</v>
      </c>
      <c r="E385" t="s">
        <v>134</v>
      </c>
      <c r="F385" s="2">
        <v>100</v>
      </c>
    </row>
    <row r="386" spans="1:6">
      <c r="A386" s="1">
        <v>43505</v>
      </c>
      <c r="B386" t="s">
        <v>532</v>
      </c>
      <c r="C386" t="s">
        <v>157</v>
      </c>
      <c r="D386" t="s">
        <v>159</v>
      </c>
      <c r="E386" t="s">
        <v>131</v>
      </c>
      <c r="F386" s="2">
        <v>150</v>
      </c>
    </row>
    <row r="387" spans="1:6">
      <c r="A387" s="1">
        <v>43505</v>
      </c>
      <c r="B387" t="s">
        <v>533</v>
      </c>
      <c r="C387" t="s">
        <v>223</v>
      </c>
      <c r="D387" t="s">
        <v>126</v>
      </c>
      <c r="E387" t="s">
        <v>131</v>
      </c>
      <c r="F387" s="2">
        <v>160</v>
      </c>
    </row>
    <row r="388" spans="1:6">
      <c r="A388" s="1">
        <v>43505</v>
      </c>
      <c r="B388" t="s">
        <v>534</v>
      </c>
      <c r="C388" t="s">
        <v>136</v>
      </c>
      <c r="D388" t="s">
        <v>133</v>
      </c>
      <c r="E388" t="s">
        <v>127</v>
      </c>
      <c r="F388" s="2">
        <v>30</v>
      </c>
    </row>
    <row r="389" spans="1:6">
      <c r="A389" s="1">
        <v>43505</v>
      </c>
      <c r="B389" t="s">
        <v>535</v>
      </c>
      <c r="C389" t="s">
        <v>145</v>
      </c>
      <c r="D389" t="s">
        <v>126</v>
      </c>
      <c r="E389" t="s">
        <v>121</v>
      </c>
      <c r="F389" s="2">
        <v>160</v>
      </c>
    </row>
    <row r="390" spans="1:6">
      <c r="A390" s="1">
        <v>43505</v>
      </c>
      <c r="B390" t="s">
        <v>536</v>
      </c>
      <c r="C390" t="s">
        <v>136</v>
      </c>
      <c r="D390" t="s">
        <v>139</v>
      </c>
      <c r="E390" t="s">
        <v>127</v>
      </c>
      <c r="F390" s="2">
        <v>80</v>
      </c>
    </row>
    <row r="391" spans="1:6">
      <c r="A391" s="1">
        <v>43506</v>
      </c>
      <c r="B391" t="s">
        <v>537</v>
      </c>
      <c r="C391" t="s">
        <v>136</v>
      </c>
      <c r="D391" t="s">
        <v>141</v>
      </c>
      <c r="E391" t="s">
        <v>127</v>
      </c>
      <c r="F391" s="2">
        <v>180</v>
      </c>
    </row>
    <row r="392" spans="1:6">
      <c r="A392" s="1">
        <v>43506</v>
      </c>
      <c r="B392" t="s">
        <v>538</v>
      </c>
      <c r="C392" t="s">
        <v>187</v>
      </c>
      <c r="D392" t="s">
        <v>141</v>
      </c>
      <c r="E392" t="s">
        <v>153</v>
      </c>
      <c r="F392" s="2">
        <v>180</v>
      </c>
    </row>
    <row r="393" spans="1:6">
      <c r="A393" s="1">
        <v>43506</v>
      </c>
      <c r="B393" t="s">
        <v>539</v>
      </c>
      <c r="C393" t="s">
        <v>148</v>
      </c>
      <c r="D393" t="s">
        <v>120</v>
      </c>
      <c r="E393" t="s">
        <v>134</v>
      </c>
      <c r="F393" s="2">
        <v>90</v>
      </c>
    </row>
    <row r="394" spans="1:6">
      <c r="A394" s="1">
        <v>43506</v>
      </c>
      <c r="B394" t="s">
        <v>540</v>
      </c>
      <c r="C394" t="s">
        <v>189</v>
      </c>
      <c r="D394" t="s">
        <v>146</v>
      </c>
      <c r="E394" t="s">
        <v>131</v>
      </c>
      <c r="F394" s="2">
        <v>50</v>
      </c>
    </row>
    <row r="395" spans="1:6">
      <c r="A395" s="1">
        <v>43506</v>
      </c>
      <c r="B395" t="s">
        <v>541</v>
      </c>
      <c r="C395" t="s">
        <v>136</v>
      </c>
      <c r="D395" t="s">
        <v>139</v>
      </c>
      <c r="E395" t="s">
        <v>121</v>
      </c>
      <c r="F395" s="2">
        <v>80</v>
      </c>
    </row>
    <row r="396" spans="1:6">
      <c r="A396" s="1">
        <v>43506</v>
      </c>
      <c r="B396" t="s">
        <v>542</v>
      </c>
      <c r="C396" t="s">
        <v>167</v>
      </c>
      <c r="D396" t="s">
        <v>141</v>
      </c>
      <c r="E396" t="s">
        <v>121</v>
      </c>
      <c r="F396" s="2">
        <v>180</v>
      </c>
    </row>
    <row r="397" spans="1:6">
      <c r="A397" s="1">
        <v>43506</v>
      </c>
      <c r="B397" t="s">
        <v>543</v>
      </c>
      <c r="C397" t="s">
        <v>129</v>
      </c>
      <c r="D397" t="s">
        <v>130</v>
      </c>
      <c r="E397" t="s">
        <v>134</v>
      </c>
      <c r="F397" s="2">
        <v>100</v>
      </c>
    </row>
    <row r="398" spans="1:6">
      <c r="A398" s="1">
        <v>43506</v>
      </c>
      <c r="B398" t="s">
        <v>544</v>
      </c>
      <c r="C398" t="s">
        <v>189</v>
      </c>
      <c r="D398" t="s">
        <v>126</v>
      </c>
      <c r="E398" t="s">
        <v>131</v>
      </c>
      <c r="F398" s="2">
        <v>160</v>
      </c>
    </row>
    <row r="399" spans="1:6">
      <c r="A399" s="1">
        <v>43506</v>
      </c>
      <c r="B399" t="s">
        <v>545</v>
      </c>
      <c r="C399" t="s">
        <v>143</v>
      </c>
      <c r="D399" t="s">
        <v>141</v>
      </c>
      <c r="E399" t="s">
        <v>131</v>
      </c>
      <c r="F399" s="2">
        <v>180</v>
      </c>
    </row>
    <row r="400" spans="1:6">
      <c r="A400" s="1">
        <v>43506</v>
      </c>
      <c r="B400" t="s">
        <v>546</v>
      </c>
      <c r="C400" t="s">
        <v>138</v>
      </c>
      <c r="D400" t="s">
        <v>159</v>
      </c>
      <c r="E400" t="s">
        <v>131</v>
      </c>
      <c r="F400" s="2">
        <v>150</v>
      </c>
    </row>
    <row r="401" spans="1:6">
      <c r="A401" s="1">
        <v>43507</v>
      </c>
      <c r="B401" t="s">
        <v>547</v>
      </c>
      <c r="C401" t="s">
        <v>167</v>
      </c>
      <c r="D401" t="s">
        <v>146</v>
      </c>
      <c r="E401" t="s">
        <v>127</v>
      </c>
      <c r="F401" s="2">
        <v>50</v>
      </c>
    </row>
    <row r="402" spans="1:6">
      <c r="A402" s="1">
        <v>43507</v>
      </c>
      <c r="B402" t="s">
        <v>548</v>
      </c>
      <c r="C402" t="s">
        <v>119</v>
      </c>
      <c r="D402" t="s">
        <v>159</v>
      </c>
      <c r="E402" t="s">
        <v>131</v>
      </c>
      <c r="F402" s="2">
        <v>150</v>
      </c>
    </row>
    <row r="403" spans="1:6">
      <c r="A403" s="1">
        <v>43507</v>
      </c>
      <c r="B403" t="s">
        <v>549</v>
      </c>
      <c r="C403" t="s">
        <v>223</v>
      </c>
      <c r="D403" t="s">
        <v>130</v>
      </c>
      <c r="E403" t="s">
        <v>127</v>
      </c>
      <c r="F403" s="2">
        <v>100</v>
      </c>
    </row>
    <row r="404" spans="1:6">
      <c r="A404" s="1">
        <v>43507</v>
      </c>
      <c r="B404" t="s">
        <v>550</v>
      </c>
      <c r="C404" t="s">
        <v>148</v>
      </c>
      <c r="D404" t="s">
        <v>159</v>
      </c>
      <c r="E404" t="s">
        <v>121</v>
      </c>
      <c r="F404" s="2">
        <v>150</v>
      </c>
    </row>
    <row r="405" spans="1:6">
      <c r="A405" s="1">
        <v>43507</v>
      </c>
      <c r="B405" t="s">
        <v>551</v>
      </c>
      <c r="C405" t="s">
        <v>152</v>
      </c>
      <c r="D405" t="s">
        <v>133</v>
      </c>
      <c r="E405" t="s">
        <v>127</v>
      </c>
      <c r="F405" s="2">
        <v>30</v>
      </c>
    </row>
    <row r="406" spans="1:6">
      <c r="A406" s="1">
        <v>43507</v>
      </c>
      <c r="B406" t="s">
        <v>552</v>
      </c>
      <c r="C406" t="s">
        <v>143</v>
      </c>
      <c r="D406" t="s">
        <v>146</v>
      </c>
      <c r="E406" t="s">
        <v>127</v>
      </c>
      <c r="F406" s="2">
        <v>50</v>
      </c>
    </row>
    <row r="407" spans="1:6">
      <c r="A407" s="1">
        <v>43507</v>
      </c>
      <c r="B407" t="s">
        <v>553</v>
      </c>
      <c r="C407" t="s">
        <v>123</v>
      </c>
      <c r="D407" t="s">
        <v>141</v>
      </c>
      <c r="E407" t="s">
        <v>127</v>
      </c>
      <c r="F407" s="2">
        <v>180</v>
      </c>
    </row>
    <row r="408" spans="1:6">
      <c r="A408" s="1">
        <v>43508</v>
      </c>
      <c r="B408" t="s">
        <v>554</v>
      </c>
      <c r="C408" t="s">
        <v>164</v>
      </c>
      <c r="D408" t="s">
        <v>133</v>
      </c>
      <c r="E408" t="s">
        <v>121</v>
      </c>
      <c r="F408" s="2">
        <v>30</v>
      </c>
    </row>
    <row r="409" spans="1:6">
      <c r="A409" s="1">
        <v>43508</v>
      </c>
      <c r="B409" t="s">
        <v>555</v>
      </c>
      <c r="C409" t="s">
        <v>143</v>
      </c>
      <c r="D409" t="s">
        <v>126</v>
      </c>
      <c r="E409" t="s">
        <v>127</v>
      </c>
      <c r="F409" s="2">
        <v>160</v>
      </c>
    </row>
    <row r="410" spans="1:6">
      <c r="A410" s="1">
        <v>43508</v>
      </c>
      <c r="B410" t="s">
        <v>556</v>
      </c>
      <c r="C410" t="s">
        <v>182</v>
      </c>
      <c r="D410" t="s">
        <v>126</v>
      </c>
      <c r="E410" t="s">
        <v>153</v>
      </c>
      <c r="F410" s="2">
        <v>160</v>
      </c>
    </row>
    <row r="411" spans="1:6">
      <c r="A411" s="1">
        <v>43508</v>
      </c>
      <c r="B411" t="s">
        <v>557</v>
      </c>
      <c r="C411" t="s">
        <v>187</v>
      </c>
      <c r="D411" t="s">
        <v>159</v>
      </c>
      <c r="E411" t="s">
        <v>131</v>
      </c>
      <c r="F411" s="2">
        <v>150</v>
      </c>
    </row>
    <row r="412" spans="1:6">
      <c r="A412" s="1">
        <v>43508</v>
      </c>
      <c r="B412" t="s">
        <v>558</v>
      </c>
      <c r="C412" t="s">
        <v>125</v>
      </c>
      <c r="D412" t="s">
        <v>120</v>
      </c>
      <c r="E412" t="s">
        <v>127</v>
      </c>
      <c r="F412" s="2">
        <v>90</v>
      </c>
    </row>
    <row r="413" spans="1:6">
      <c r="A413" s="1">
        <v>43508</v>
      </c>
      <c r="B413" t="s">
        <v>559</v>
      </c>
      <c r="C413" t="s">
        <v>123</v>
      </c>
      <c r="D413" t="s">
        <v>126</v>
      </c>
      <c r="E413" t="s">
        <v>153</v>
      </c>
      <c r="F413" s="2">
        <v>160</v>
      </c>
    </row>
    <row r="414" spans="1:6">
      <c r="A414" s="1">
        <v>43508</v>
      </c>
      <c r="B414" t="s">
        <v>560</v>
      </c>
      <c r="C414" t="s">
        <v>119</v>
      </c>
      <c r="D414" t="s">
        <v>159</v>
      </c>
      <c r="E414" t="s">
        <v>153</v>
      </c>
      <c r="F414" s="2">
        <v>150</v>
      </c>
    </row>
    <row r="415" spans="1:6">
      <c r="A415" s="1">
        <v>43508</v>
      </c>
      <c r="B415" t="s">
        <v>561</v>
      </c>
      <c r="C415" t="s">
        <v>164</v>
      </c>
      <c r="D415" t="s">
        <v>130</v>
      </c>
      <c r="E415" t="s">
        <v>153</v>
      </c>
      <c r="F415" s="2">
        <v>100</v>
      </c>
    </row>
    <row r="416" spans="1:6">
      <c r="A416" s="1">
        <v>43508</v>
      </c>
      <c r="B416" t="s">
        <v>562</v>
      </c>
      <c r="C416" t="s">
        <v>167</v>
      </c>
      <c r="D416" t="s">
        <v>133</v>
      </c>
      <c r="E416" t="s">
        <v>121</v>
      </c>
      <c r="F416" s="2">
        <v>30</v>
      </c>
    </row>
    <row r="417" spans="1:6">
      <c r="A417" s="1">
        <v>43508</v>
      </c>
      <c r="B417" t="s">
        <v>563</v>
      </c>
      <c r="C417" t="s">
        <v>182</v>
      </c>
      <c r="D417" t="s">
        <v>146</v>
      </c>
      <c r="E417" t="s">
        <v>134</v>
      </c>
      <c r="F417" s="2">
        <v>50</v>
      </c>
    </row>
    <row r="418" spans="1:6">
      <c r="A418" s="1">
        <v>43508</v>
      </c>
      <c r="B418" t="s">
        <v>564</v>
      </c>
      <c r="C418" t="s">
        <v>223</v>
      </c>
      <c r="D418" t="s">
        <v>120</v>
      </c>
      <c r="E418" t="s">
        <v>153</v>
      </c>
      <c r="F418" s="2">
        <v>90</v>
      </c>
    </row>
    <row r="419" spans="1:6">
      <c r="A419" s="1">
        <v>43509</v>
      </c>
      <c r="B419" t="s">
        <v>565</v>
      </c>
      <c r="C419" t="s">
        <v>189</v>
      </c>
      <c r="D419" t="s">
        <v>141</v>
      </c>
      <c r="E419" t="s">
        <v>131</v>
      </c>
      <c r="F419" s="2">
        <v>180</v>
      </c>
    </row>
    <row r="420" spans="1:6">
      <c r="A420" s="1">
        <v>43509</v>
      </c>
      <c r="B420" t="s">
        <v>566</v>
      </c>
      <c r="C420" t="s">
        <v>129</v>
      </c>
      <c r="D420" t="s">
        <v>146</v>
      </c>
      <c r="E420" t="s">
        <v>153</v>
      </c>
      <c r="F420" s="2">
        <v>50</v>
      </c>
    </row>
    <row r="421" spans="1:6">
      <c r="A421" s="1">
        <v>43509</v>
      </c>
      <c r="B421" t="s">
        <v>567</v>
      </c>
      <c r="C421" t="s">
        <v>119</v>
      </c>
      <c r="D421" t="s">
        <v>130</v>
      </c>
      <c r="E421" t="s">
        <v>131</v>
      </c>
      <c r="F421" s="2">
        <v>100</v>
      </c>
    </row>
    <row r="422" spans="1:6">
      <c r="A422" s="1">
        <v>43509</v>
      </c>
      <c r="B422" t="s">
        <v>568</v>
      </c>
      <c r="C422" t="s">
        <v>143</v>
      </c>
      <c r="D422" t="s">
        <v>141</v>
      </c>
      <c r="E422" t="s">
        <v>121</v>
      </c>
      <c r="F422" s="2">
        <v>180</v>
      </c>
    </row>
    <row r="423" spans="1:6">
      <c r="A423" s="1">
        <v>43509</v>
      </c>
      <c r="B423" t="s">
        <v>569</v>
      </c>
      <c r="C423" t="s">
        <v>182</v>
      </c>
      <c r="D423" t="s">
        <v>146</v>
      </c>
      <c r="E423" t="s">
        <v>131</v>
      </c>
      <c r="F423" s="2">
        <v>50</v>
      </c>
    </row>
    <row r="424" spans="1:6">
      <c r="A424" s="1">
        <v>43509</v>
      </c>
      <c r="B424" t="s">
        <v>570</v>
      </c>
      <c r="C424" t="s">
        <v>187</v>
      </c>
      <c r="D424" t="s">
        <v>120</v>
      </c>
      <c r="E424" t="s">
        <v>153</v>
      </c>
      <c r="F424" s="2">
        <v>90</v>
      </c>
    </row>
    <row r="425" spans="1:6">
      <c r="A425" s="1">
        <v>43510</v>
      </c>
      <c r="B425" t="s">
        <v>571</v>
      </c>
      <c r="C425" t="s">
        <v>187</v>
      </c>
      <c r="D425" t="s">
        <v>120</v>
      </c>
      <c r="E425" t="s">
        <v>121</v>
      </c>
      <c r="F425" s="2">
        <v>90</v>
      </c>
    </row>
    <row r="426" spans="1:6">
      <c r="A426" s="1">
        <v>43510</v>
      </c>
      <c r="B426" t="s">
        <v>572</v>
      </c>
      <c r="C426" t="s">
        <v>152</v>
      </c>
      <c r="D426" t="s">
        <v>146</v>
      </c>
      <c r="E426" t="s">
        <v>131</v>
      </c>
      <c r="F426" s="2">
        <v>50</v>
      </c>
    </row>
    <row r="427" spans="1:6">
      <c r="A427" s="1">
        <v>43510</v>
      </c>
      <c r="B427" t="s">
        <v>573</v>
      </c>
      <c r="C427" t="s">
        <v>167</v>
      </c>
      <c r="D427" t="s">
        <v>130</v>
      </c>
      <c r="E427" t="s">
        <v>134</v>
      </c>
      <c r="F427" s="2">
        <v>100</v>
      </c>
    </row>
    <row r="428" spans="1:6">
      <c r="A428" s="1">
        <v>43510</v>
      </c>
      <c r="B428" t="s">
        <v>574</v>
      </c>
      <c r="C428" t="s">
        <v>119</v>
      </c>
      <c r="D428" t="s">
        <v>130</v>
      </c>
      <c r="E428" t="s">
        <v>127</v>
      </c>
      <c r="F428" s="2">
        <v>100</v>
      </c>
    </row>
    <row r="429" spans="1:6">
      <c r="A429" s="1">
        <v>43510</v>
      </c>
      <c r="B429" t="s">
        <v>575</v>
      </c>
      <c r="C429" t="s">
        <v>145</v>
      </c>
      <c r="D429" t="s">
        <v>141</v>
      </c>
      <c r="E429" t="s">
        <v>121</v>
      </c>
      <c r="F429" s="2">
        <v>180</v>
      </c>
    </row>
    <row r="430" spans="1:6">
      <c r="A430" s="1">
        <v>43510</v>
      </c>
      <c r="B430" t="s">
        <v>576</v>
      </c>
      <c r="C430" t="s">
        <v>129</v>
      </c>
      <c r="D430" t="s">
        <v>126</v>
      </c>
      <c r="E430" t="s">
        <v>153</v>
      </c>
      <c r="F430" s="2">
        <v>160</v>
      </c>
    </row>
    <row r="431" spans="1:6">
      <c r="A431" s="1">
        <v>43510</v>
      </c>
      <c r="B431" t="s">
        <v>577</v>
      </c>
      <c r="C431" t="s">
        <v>167</v>
      </c>
      <c r="D431" t="s">
        <v>141</v>
      </c>
      <c r="E431" t="s">
        <v>127</v>
      </c>
      <c r="F431" s="2">
        <v>180</v>
      </c>
    </row>
    <row r="432" spans="1:6">
      <c r="A432" s="1">
        <v>43511</v>
      </c>
      <c r="B432" t="s">
        <v>578</v>
      </c>
      <c r="C432" t="s">
        <v>157</v>
      </c>
      <c r="D432" t="s">
        <v>130</v>
      </c>
      <c r="E432" t="s">
        <v>121</v>
      </c>
      <c r="F432" s="2">
        <v>100</v>
      </c>
    </row>
    <row r="433" spans="1:6">
      <c r="A433" s="1">
        <v>43511</v>
      </c>
      <c r="B433" t="s">
        <v>579</v>
      </c>
      <c r="C433" t="s">
        <v>182</v>
      </c>
      <c r="D433" t="s">
        <v>133</v>
      </c>
      <c r="E433" t="s">
        <v>131</v>
      </c>
      <c r="F433" s="2">
        <v>30</v>
      </c>
    </row>
    <row r="434" spans="1:6">
      <c r="A434" s="1">
        <v>43511</v>
      </c>
      <c r="B434" t="s">
        <v>580</v>
      </c>
      <c r="C434" t="s">
        <v>223</v>
      </c>
      <c r="D434" t="s">
        <v>141</v>
      </c>
      <c r="E434" t="s">
        <v>153</v>
      </c>
      <c r="F434" s="2">
        <v>180</v>
      </c>
    </row>
    <row r="435" spans="1:6">
      <c r="A435" s="1">
        <v>43511</v>
      </c>
      <c r="B435" t="s">
        <v>581</v>
      </c>
      <c r="C435" t="s">
        <v>182</v>
      </c>
      <c r="D435" t="s">
        <v>139</v>
      </c>
      <c r="E435" t="s">
        <v>134</v>
      </c>
      <c r="F435" s="2">
        <v>80</v>
      </c>
    </row>
    <row r="436" spans="1:6">
      <c r="A436" s="1">
        <v>43511</v>
      </c>
      <c r="B436" t="s">
        <v>582</v>
      </c>
      <c r="C436" t="s">
        <v>138</v>
      </c>
      <c r="D436" t="s">
        <v>126</v>
      </c>
      <c r="E436" t="s">
        <v>153</v>
      </c>
      <c r="F436" s="2">
        <v>160</v>
      </c>
    </row>
    <row r="437" spans="1:6">
      <c r="A437" s="1">
        <v>43511</v>
      </c>
      <c r="B437" t="s">
        <v>583</v>
      </c>
      <c r="C437" t="s">
        <v>223</v>
      </c>
      <c r="D437" t="s">
        <v>133</v>
      </c>
      <c r="E437" t="s">
        <v>134</v>
      </c>
      <c r="F437" s="2">
        <v>30</v>
      </c>
    </row>
    <row r="438" spans="1:6">
      <c r="A438" s="1">
        <v>43511</v>
      </c>
      <c r="B438" t="s">
        <v>584</v>
      </c>
      <c r="C438" t="s">
        <v>119</v>
      </c>
      <c r="D438" t="s">
        <v>126</v>
      </c>
      <c r="E438" t="s">
        <v>131</v>
      </c>
      <c r="F438" s="2">
        <v>160</v>
      </c>
    </row>
    <row r="439" spans="1:6">
      <c r="A439" s="1">
        <v>43511</v>
      </c>
      <c r="B439" t="s">
        <v>585</v>
      </c>
      <c r="C439" t="s">
        <v>123</v>
      </c>
      <c r="D439" t="s">
        <v>126</v>
      </c>
      <c r="E439" t="s">
        <v>121</v>
      </c>
      <c r="F439" s="2">
        <v>160</v>
      </c>
    </row>
    <row r="440" spans="1:6">
      <c r="A440" s="1">
        <v>43511</v>
      </c>
      <c r="B440" t="s">
        <v>586</v>
      </c>
      <c r="C440" t="s">
        <v>148</v>
      </c>
      <c r="D440" t="s">
        <v>139</v>
      </c>
      <c r="E440" t="s">
        <v>121</v>
      </c>
      <c r="F440" s="2">
        <v>80</v>
      </c>
    </row>
    <row r="441" spans="1:6">
      <c r="A441" s="1">
        <v>43512</v>
      </c>
      <c r="B441" t="s">
        <v>587</v>
      </c>
      <c r="C441" t="s">
        <v>145</v>
      </c>
      <c r="D441" t="s">
        <v>120</v>
      </c>
      <c r="E441" t="s">
        <v>121</v>
      </c>
      <c r="F441" s="2">
        <v>90</v>
      </c>
    </row>
    <row r="442" spans="1:6">
      <c r="A442" s="1">
        <v>43512</v>
      </c>
      <c r="B442" t="s">
        <v>588</v>
      </c>
      <c r="C442" t="s">
        <v>182</v>
      </c>
      <c r="D442" t="s">
        <v>146</v>
      </c>
      <c r="E442" t="s">
        <v>121</v>
      </c>
      <c r="F442" s="2">
        <v>50</v>
      </c>
    </row>
    <row r="443" spans="1:6">
      <c r="A443" s="1">
        <v>43512</v>
      </c>
      <c r="B443" t="s">
        <v>589</v>
      </c>
      <c r="C443" t="s">
        <v>143</v>
      </c>
      <c r="D443" t="s">
        <v>146</v>
      </c>
      <c r="E443" t="s">
        <v>127</v>
      </c>
      <c r="F443" s="2">
        <v>50</v>
      </c>
    </row>
    <row r="444" spans="1:6">
      <c r="A444" s="1">
        <v>43512</v>
      </c>
      <c r="B444" t="s">
        <v>590</v>
      </c>
      <c r="C444" t="s">
        <v>167</v>
      </c>
      <c r="D444" t="s">
        <v>130</v>
      </c>
      <c r="E444" t="s">
        <v>131</v>
      </c>
      <c r="F444" s="2">
        <v>100</v>
      </c>
    </row>
    <row r="445" spans="1:6">
      <c r="A445" s="1">
        <v>43512</v>
      </c>
      <c r="B445" t="s">
        <v>591</v>
      </c>
      <c r="C445" t="s">
        <v>148</v>
      </c>
      <c r="D445" t="s">
        <v>141</v>
      </c>
      <c r="E445" t="s">
        <v>127</v>
      </c>
      <c r="F445" s="2">
        <v>180</v>
      </c>
    </row>
    <row r="446" spans="1:6">
      <c r="A446" s="1">
        <v>43512</v>
      </c>
      <c r="B446" t="s">
        <v>592</v>
      </c>
      <c r="C446" t="s">
        <v>152</v>
      </c>
      <c r="D446" t="s">
        <v>130</v>
      </c>
      <c r="E446" t="s">
        <v>121</v>
      </c>
      <c r="F446" s="2">
        <v>100</v>
      </c>
    </row>
    <row r="447" spans="1:6">
      <c r="A447" s="1">
        <v>43512</v>
      </c>
      <c r="B447" t="s">
        <v>593</v>
      </c>
      <c r="C447" t="s">
        <v>164</v>
      </c>
      <c r="D447" t="s">
        <v>126</v>
      </c>
      <c r="E447" t="s">
        <v>127</v>
      </c>
      <c r="F447" s="2">
        <v>160</v>
      </c>
    </row>
    <row r="448" spans="1:6">
      <c r="A448" s="1">
        <v>43512</v>
      </c>
      <c r="B448" t="s">
        <v>594</v>
      </c>
      <c r="C448" t="s">
        <v>136</v>
      </c>
      <c r="D448" t="s">
        <v>146</v>
      </c>
      <c r="E448" t="s">
        <v>121</v>
      </c>
      <c r="F448" s="2">
        <v>50</v>
      </c>
    </row>
    <row r="449" spans="1:6">
      <c r="A449" s="1">
        <v>43512</v>
      </c>
      <c r="B449" t="s">
        <v>595</v>
      </c>
      <c r="C449" t="s">
        <v>157</v>
      </c>
      <c r="D449" t="s">
        <v>126</v>
      </c>
      <c r="E449" t="s">
        <v>134</v>
      </c>
      <c r="F449" s="2">
        <v>160</v>
      </c>
    </row>
    <row r="450" spans="1:6">
      <c r="A450" s="1">
        <v>43513</v>
      </c>
      <c r="B450" t="s">
        <v>596</v>
      </c>
      <c r="C450" t="s">
        <v>123</v>
      </c>
      <c r="D450" t="s">
        <v>130</v>
      </c>
      <c r="E450" t="s">
        <v>134</v>
      </c>
      <c r="F450" s="2">
        <v>100</v>
      </c>
    </row>
    <row r="451" spans="1:6">
      <c r="A451" s="1">
        <v>43513</v>
      </c>
      <c r="B451" t="s">
        <v>597</v>
      </c>
      <c r="C451" t="s">
        <v>138</v>
      </c>
      <c r="D451" t="s">
        <v>141</v>
      </c>
      <c r="E451" t="s">
        <v>121</v>
      </c>
      <c r="F451" s="2">
        <v>180</v>
      </c>
    </row>
    <row r="452" spans="1:6">
      <c r="A452" s="1">
        <v>43513</v>
      </c>
      <c r="B452" t="s">
        <v>598</v>
      </c>
      <c r="C452" t="s">
        <v>125</v>
      </c>
      <c r="D452" t="s">
        <v>120</v>
      </c>
      <c r="E452" t="s">
        <v>127</v>
      </c>
      <c r="F452" s="2">
        <v>90</v>
      </c>
    </row>
    <row r="453" spans="1:6">
      <c r="A453" s="1">
        <v>43513</v>
      </c>
      <c r="B453" t="s">
        <v>599</v>
      </c>
      <c r="C453" t="s">
        <v>125</v>
      </c>
      <c r="D453" t="s">
        <v>139</v>
      </c>
      <c r="E453" t="s">
        <v>127</v>
      </c>
      <c r="F453" s="2">
        <v>80</v>
      </c>
    </row>
    <row r="454" spans="1:6">
      <c r="A454" s="1">
        <v>43513</v>
      </c>
      <c r="B454" t="s">
        <v>600</v>
      </c>
      <c r="C454" t="s">
        <v>119</v>
      </c>
      <c r="D454" t="s">
        <v>139</v>
      </c>
      <c r="E454" t="s">
        <v>134</v>
      </c>
      <c r="F454" s="2">
        <v>80</v>
      </c>
    </row>
    <row r="455" spans="1:6">
      <c r="A455" s="1">
        <v>43513</v>
      </c>
      <c r="B455" t="s">
        <v>601</v>
      </c>
      <c r="C455" t="s">
        <v>136</v>
      </c>
      <c r="D455" t="s">
        <v>133</v>
      </c>
      <c r="E455" t="s">
        <v>153</v>
      </c>
      <c r="F455" s="2">
        <v>30</v>
      </c>
    </row>
    <row r="456" spans="1:6">
      <c r="A456" s="1">
        <v>43513</v>
      </c>
      <c r="B456" t="s">
        <v>602</v>
      </c>
      <c r="C456" t="s">
        <v>138</v>
      </c>
      <c r="D456" t="s">
        <v>130</v>
      </c>
      <c r="E456" t="s">
        <v>131</v>
      </c>
      <c r="F456" s="2">
        <v>100</v>
      </c>
    </row>
    <row r="457" spans="1:6">
      <c r="A457" s="1">
        <v>43514</v>
      </c>
      <c r="B457" t="s">
        <v>603</v>
      </c>
      <c r="C457" t="s">
        <v>157</v>
      </c>
      <c r="D457" t="s">
        <v>139</v>
      </c>
      <c r="E457" t="s">
        <v>127</v>
      </c>
      <c r="F457" s="2">
        <v>80</v>
      </c>
    </row>
    <row r="458" spans="1:6">
      <c r="A458" s="1">
        <v>43514</v>
      </c>
      <c r="B458" t="s">
        <v>604</v>
      </c>
      <c r="C458" t="s">
        <v>167</v>
      </c>
      <c r="D458" t="s">
        <v>130</v>
      </c>
      <c r="E458" t="s">
        <v>121</v>
      </c>
      <c r="F458" s="2">
        <v>100</v>
      </c>
    </row>
    <row r="459" spans="1:6">
      <c r="A459" s="1">
        <v>43514</v>
      </c>
      <c r="B459" t="s">
        <v>605</v>
      </c>
      <c r="C459" t="s">
        <v>157</v>
      </c>
      <c r="D459" t="s">
        <v>133</v>
      </c>
      <c r="E459" t="s">
        <v>131</v>
      </c>
      <c r="F459" s="2">
        <v>30</v>
      </c>
    </row>
    <row r="460" spans="1:6">
      <c r="A460" s="1">
        <v>43514</v>
      </c>
      <c r="B460" t="s">
        <v>606</v>
      </c>
      <c r="C460" t="s">
        <v>164</v>
      </c>
      <c r="D460" t="s">
        <v>159</v>
      </c>
      <c r="E460" t="s">
        <v>153</v>
      </c>
      <c r="F460" s="2">
        <v>150</v>
      </c>
    </row>
    <row r="461" spans="1:6">
      <c r="A461" s="1">
        <v>43514</v>
      </c>
      <c r="B461" t="s">
        <v>607</v>
      </c>
      <c r="C461" t="s">
        <v>187</v>
      </c>
      <c r="D461" t="s">
        <v>126</v>
      </c>
      <c r="E461" t="s">
        <v>153</v>
      </c>
      <c r="F461" s="2">
        <v>160</v>
      </c>
    </row>
    <row r="462" spans="1:6">
      <c r="A462" s="1">
        <v>43514</v>
      </c>
      <c r="B462" t="s">
        <v>608</v>
      </c>
      <c r="C462" t="s">
        <v>138</v>
      </c>
      <c r="D462" t="s">
        <v>146</v>
      </c>
      <c r="E462" t="s">
        <v>153</v>
      </c>
      <c r="F462" s="2">
        <v>50</v>
      </c>
    </row>
    <row r="463" spans="1:6">
      <c r="A463" s="1">
        <v>43514</v>
      </c>
      <c r="B463" t="s">
        <v>609</v>
      </c>
      <c r="C463" t="s">
        <v>123</v>
      </c>
      <c r="D463" t="s">
        <v>130</v>
      </c>
      <c r="E463" t="s">
        <v>134</v>
      </c>
      <c r="F463" s="2">
        <v>100</v>
      </c>
    </row>
    <row r="464" spans="1:6">
      <c r="A464" s="1">
        <v>43514</v>
      </c>
      <c r="B464" t="s">
        <v>610</v>
      </c>
      <c r="C464" t="s">
        <v>167</v>
      </c>
      <c r="D464" t="s">
        <v>126</v>
      </c>
      <c r="E464" t="s">
        <v>131</v>
      </c>
      <c r="F464" s="2">
        <v>160</v>
      </c>
    </row>
    <row r="465" spans="1:6">
      <c r="A465" s="1">
        <v>43514</v>
      </c>
      <c r="B465" t="s">
        <v>611</v>
      </c>
      <c r="C465" t="s">
        <v>125</v>
      </c>
      <c r="D465" t="s">
        <v>159</v>
      </c>
      <c r="E465" t="s">
        <v>153</v>
      </c>
      <c r="F465" s="2">
        <v>150</v>
      </c>
    </row>
    <row r="466" spans="1:6">
      <c r="A466" s="1">
        <v>43514</v>
      </c>
      <c r="B466" t="s">
        <v>612</v>
      </c>
      <c r="C466" t="s">
        <v>148</v>
      </c>
      <c r="D466" t="s">
        <v>126</v>
      </c>
      <c r="E466" t="s">
        <v>127</v>
      </c>
      <c r="F466" s="2">
        <v>160</v>
      </c>
    </row>
    <row r="467" spans="1:6">
      <c r="A467" s="1">
        <v>43514</v>
      </c>
      <c r="B467" t="s">
        <v>613</v>
      </c>
      <c r="C467" t="s">
        <v>164</v>
      </c>
      <c r="D467" t="s">
        <v>141</v>
      </c>
      <c r="E467" t="s">
        <v>134</v>
      </c>
      <c r="F467" s="2">
        <v>180</v>
      </c>
    </row>
    <row r="468" spans="1:6">
      <c r="A468" s="1">
        <v>43514</v>
      </c>
      <c r="B468" t="s">
        <v>614</v>
      </c>
      <c r="C468" t="s">
        <v>187</v>
      </c>
      <c r="D468" t="s">
        <v>159</v>
      </c>
      <c r="E468" t="s">
        <v>127</v>
      </c>
      <c r="F468" s="2">
        <v>150</v>
      </c>
    </row>
    <row r="469" spans="1:6">
      <c r="A469" s="1">
        <v>43515</v>
      </c>
      <c r="B469" t="s">
        <v>615</v>
      </c>
      <c r="C469" t="s">
        <v>187</v>
      </c>
      <c r="D469" t="s">
        <v>141</v>
      </c>
      <c r="E469" t="s">
        <v>121</v>
      </c>
      <c r="F469" s="2">
        <v>180</v>
      </c>
    </row>
    <row r="470" spans="1:6">
      <c r="A470" s="1">
        <v>43515</v>
      </c>
      <c r="B470" t="s">
        <v>616</v>
      </c>
      <c r="C470" t="s">
        <v>119</v>
      </c>
      <c r="D470" t="s">
        <v>133</v>
      </c>
      <c r="E470" t="s">
        <v>153</v>
      </c>
      <c r="F470" s="2">
        <v>30</v>
      </c>
    </row>
    <row r="471" spans="1:6">
      <c r="A471" s="1">
        <v>43515</v>
      </c>
      <c r="B471" t="s">
        <v>617</v>
      </c>
      <c r="C471" t="s">
        <v>167</v>
      </c>
      <c r="D471" t="s">
        <v>146</v>
      </c>
      <c r="E471" t="s">
        <v>134</v>
      </c>
      <c r="F471" s="2">
        <v>50</v>
      </c>
    </row>
    <row r="472" spans="1:6">
      <c r="A472" s="1">
        <v>43515</v>
      </c>
      <c r="B472" t="s">
        <v>618</v>
      </c>
      <c r="C472" t="s">
        <v>152</v>
      </c>
      <c r="D472" t="s">
        <v>120</v>
      </c>
      <c r="E472" t="s">
        <v>131</v>
      </c>
      <c r="F472" s="2">
        <v>90</v>
      </c>
    </row>
    <row r="473" spans="1:6">
      <c r="A473" s="1">
        <v>43515</v>
      </c>
      <c r="B473" t="s">
        <v>619</v>
      </c>
      <c r="C473" t="s">
        <v>187</v>
      </c>
      <c r="D473" t="s">
        <v>130</v>
      </c>
      <c r="E473" t="s">
        <v>134</v>
      </c>
      <c r="F473" s="2">
        <v>100</v>
      </c>
    </row>
    <row r="474" spans="1:6">
      <c r="A474" s="1">
        <v>43515</v>
      </c>
      <c r="B474" t="s">
        <v>620</v>
      </c>
      <c r="C474" t="s">
        <v>152</v>
      </c>
      <c r="D474" t="s">
        <v>139</v>
      </c>
      <c r="E474" t="s">
        <v>153</v>
      </c>
      <c r="F474" s="2">
        <v>80</v>
      </c>
    </row>
    <row r="475" spans="1:6">
      <c r="A475" s="1">
        <v>43515</v>
      </c>
      <c r="B475" t="s">
        <v>621</v>
      </c>
      <c r="C475" t="s">
        <v>119</v>
      </c>
      <c r="D475" t="s">
        <v>139</v>
      </c>
      <c r="E475" t="s">
        <v>131</v>
      </c>
      <c r="F475" s="2">
        <v>80</v>
      </c>
    </row>
    <row r="476" spans="1:6">
      <c r="A476" s="1">
        <v>43515</v>
      </c>
      <c r="B476" t="s">
        <v>622</v>
      </c>
      <c r="C476" t="s">
        <v>164</v>
      </c>
      <c r="D476" t="s">
        <v>130</v>
      </c>
      <c r="E476" t="s">
        <v>121</v>
      </c>
      <c r="F476" s="2">
        <v>100</v>
      </c>
    </row>
    <row r="477" spans="1:6">
      <c r="A477" s="1">
        <v>43515</v>
      </c>
      <c r="B477" t="s">
        <v>623</v>
      </c>
      <c r="C477" t="s">
        <v>136</v>
      </c>
      <c r="D477" t="s">
        <v>141</v>
      </c>
      <c r="E477" t="s">
        <v>153</v>
      </c>
      <c r="F477" s="2">
        <v>180</v>
      </c>
    </row>
    <row r="478" spans="1:6">
      <c r="A478" s="1">
        <v>43515</v>
      </c>
      <c r="B478" t="s">
        <v>624</v>
      </c>
      <c r="C478" t="s">
        <v>129</v>
      </c>
      <c r="D478" t="s">
        <v>146</v>
      </c>
      <c r="E478" t="s">
        <v>127</v>
      </c>
      <c r="F478" s="2">
        <v>50</v>
      </c>
    </row>
    <row r="479" spans="1:6">
      <c r="A479" s="1">
        <v>43515</v>
      </c>
      <c r="B479" t="s">
        <v>625</v>
      </c>
      <c r="C479" t="s">
        <v>143</v>
      </c>
      <c r="D479" t="s">
        <v>120</v>
      </c>
      <c r="E479" t="s">
        <v>131</v>
      </c>
      <c r="F479" s="2">
        <v>90</v>
      </c>
    </row>
    <row r="480" spans="1:6">
      <c r="A480" s="1">
        <v>43515</v>
      </c>
      <c r="B480" t="s">
        <v>626</v>
      </c>
      <c r="C480" t="s">
        <v>187</v>
      </c>
      <c r="D480" t="s">
        <v>130</v>
      </c>
      <c r="E480" t="s">
        <v>153</v>
      </c>
      <c r="F480" s="2">
        <v>100</v>
      </c>
    </row>
    <row r="481" spans="1:6">
      <c r="A481" s="1">
        <v>43516</v>
      </c>
      <c r="B481" t="s">
        <v>627</v>
      </c>
      <c r="C481" t="s">
        <v>136</v>
      </c>
      <c r="D481" t="s">
        <v>141</v>
      </c>
      <c r="E481" t="s">
        <v>153</v>
      </c>
      <c r="F481" s="2">
        <v>180</v>
      </c>
    </row>
    <row r="482" spans="1:6">
      <c r="A482" s="1">
        <v>43516</v>
      </c>
      <c r="B482" t="s">
        <v>628</v>
      </c>
      <c r="C482" t="s">
        <v>189</v>
      </c>
      <c r="D482" t="s">
        <v>141</v>
      </c>
      <c r="E482" t="s">
        <v>127</v>
      </c>
      <c r="F482" s="2">
        <v>180</v>
      </c>
    </row>
    <row r="483" spans="1:6">
      <c r="A483" s="1">
        <v>43516</v>
      </c>
      <c r="B483" t="s">
        <v>629</v>
      </c>
      <c r="C483" t="s">
        <v>189</v>
      </c>
      <c r="D483" t="s">
        <v>130</v>
      </c>
      <c r="E483" t="s">
        <v>134</v>
      </c>
      <c r="F483" s="2">
        <v>100</v>
      </c>
    </row>
    <row r="484" spans="1:6">
      <c r="A484" s="1">
        <v>43516</v>
      </c>
      <c r="B484" t="s">
        <v>630</v>
      </c>
      <c r="C484" t="s">
        <v>123</v>
      </c>
      <c r="D484" t="s">
        <v>133</v>
      </c>
      <c r="E484" t="s">
        <v>121</v>
      </c>
      <c r="F484" s="2">
        <v>30</v>
      </c>
    </row>
    <row r="485" spans="1:6">
      <c r="A485" s="1">
        <v>43516</v>
      </c>
      <c r="B485" t="s">
        <v>631</v>
      </c>
      <c r="C485" t="s">
        <v>157</v>
      </c>
      <c r="D485" t="s">
        <v>126</v>
      </c>
      <c r="E485" t="s">
        <v>134</v>
      </c>
      <c r="F485" s="2">
        <v>160</v>
      </c>
    </row>
    <row r="486" spans="1:6">
      <c r="A486" s="1">
        <v>43516</v>
      </c>
      <c r="B486" t="s">
        <v>632</v>
      </c>
      <c r="C486" t="s">
        <v>136</v>
      </c>
      <c r="D486" t="s">
        <v>139</v>
      </c>
      <c r="E486" t="s">
        <v>131</v>
      </c>
      <c r="F486" s="2">
        <v>80</v>
      </c>
    </row>
    <row r="487" spans="1:6">
      <c r="A487" s="1">
        <v>43517</v>
      </c>
      <c r="B487" t="s">
        <v>633</v>
      </c>
      <c r="C487" t="s">
        <v>187</v>
      </c>
      <c r="D487" t="s">
        <v>126</v>
      </c>
      <c r="E487" t="s">
        <v>134</v>
      </c>
      <c r="F487" s="2">
        <v>160</v>
      </c>
    </row>
    <row r="488" spans="1:6">
      <c r="A488" s="1">
        <v>43517</v>
      </c>
      <c r="B488" t="s">
        <v>634</v>
      </c>
      <c r="C488" t="s">
        <v>182</v>
      </c>
      <c r="D488" t="s">
        <v>120</v>
      </c>
      <c r="E488" t="s">
        <v>134</v>
      </c>
      <c r="F488" s="2">
        <v>90</v>
      </c>
    </row>
    <row r="489" spans="1:6">
      <c r="A489" s="1">
        <v>43517</v>
      </c>
      <c r="B489" t="s">
        <v>635</v>
      </c>
      <c r="C489" t="s">
        <v>164</v>
      </c>
      <c r="D489" t="s">
        <v>133</v>
      </c>
      <c r="E489" t="s">
        <v>131</v>
      </c>
      <c r="F489" s="2">
        <v>30</v>
      </c>
    </row>
    <row r="490" spans="1:6">
      <c r="A490" s="1">
        <v>43517</v>
      </c>
      <c r="B490" t="s">
        <v>636</v>
      </c>
      <c r="C490" t="s">
        <v>125</v>
      </c>
      <c r="D490" t="s">
        <v>126</v>
      </c>
      <c r="E490" t="s">
        <v>153</v>
      </c>
      <c r="F490" s="2">
        <v>160</v>
      </c>
    </row>
    <row r="491" spans="1:6">
      <c r="A491" s="1">
        <v>43517</v>
      </c>
      <c r="B491" t="s">
        <v>637</v>
      </c>
      <c r="C491" t="s">
        <v>182</v>
      </c>
      <c r="D491" t="s">
        <v>120</v>
      </c>
      <c r="E491" t="s">
        <v>153</v>
      </c>
      <c r="F491" s="2">
        <v>90</v>
      </c>
    </row>
    <row r="492" spans="1:6">
      <c r="A492" s="1">
        <v>43517</v>
      </c>
      <c r="B492" t="s">
        <v>638</v>
      </c>
      <c r="C492" t="s">
        <v>143</v>
      </c>
      <c r="D492" t="s">
        <v>133</v>
      </c>
      <c r="E492" t="s">
        <v>153</v>
      </c>
      <c r="F492" s="2">
        <v>30</v>
      </c>
    </row>
    <row r="493" spans="1:6">
      <c r="A493" s="1">
        <v>43517</v>
      </c>
      <c r="B493" t="s">
        <v>639</v>
      </c>
      <c r="C493" t="s">
        <v>167</v>
      </c>
      <c r="D493" t="s">
        <v>146</v>
      </c>
      <c r="E493" t="s">
        <v>134</v>
      </c>
      <c r="F493" s="2">
        <v>50</v>
      </c>
    </row>
    <row r="494" spans="1:6">
      <c r="A494" s="1">
        <v>43517</v>
      </c>
      <c r="B494" t="s">
        <v>640</v>
      </c>
      <c r="C494" t="s">
        <v>136</v>
      </c>
      <c r="D494" t="s">
        <v>159</v>
      </c>
      <c r="E494" t="s">
        <v>127</v>
      </c>
      <c r="F494" s="2">
        <v>150</v>
      </c>
    </row>
    <row r="495" spans="1:6">
      <c r="A495" s="1">
        <v>43517</v>
      </c>
      <c r="B495" t="s">
        <v>641</v>
      </c>
      <c r="C495" t="s">
        <v>123</v>
      </c>
      <c r="D495" t="s">
        <v>146</v>
      </c>
      <c r="E495" t="s">
        <v>134</v>
      </c>
      <c r="F495" s="2">
        <v>50</v>
      </c>
    </row>
    <row r="496" spans="1:6">
      <c r="A496" s="1">
        <v>43517</v>
      </c>
      <c r="B496" t="s">
        <v>642</v>
      </c>
      <c r="C496" t="s">
        <v>138</v>
      </c>
      <c r="D496" t="s">
        <v>146</v>
      </c>
      <c r="E496" t="s">
        <v>131</v>
      </c>
      <c r="F496" s="2">
        <v>50</v>
      </c>
    </row>
    <row r="497" spans="1:6">
      <c r="A497" s="1">
        <v>43517</v>
      </c>
      <c r="B497" t="s">
        <v>643</v>
      </c>
      <c r="C497" t="s">
        <v>157</v>
      </c>
      <c r="D497" t="s">
        <v>159</v>
      </c>
      <c r="E497" t="s">
        <v>121</v>
      </c>
      <c r="F497" s="2">
        <v>150</v>
      </c>
    </row>
    <row r="498" spans="1:6">
      <c r="A498" s="1">
        <v>43517</v>
      </c>
      <c r="B498" t="s">
        <v>644</v>
      </c>
      <c r="C498" t="s">
        <v>164</v>
      </c>
      <c r="D498" t="s">
        <v>120</v>
      </c>
      <c r="E498" t="s">
        <v>153</v>
      </c>
      <c r="F498" s="2">
        <v>90</v>
      </c>
    </row>
    <row r="499" spans="1:6">
      <c r="A499" s="1">
        <v>43517</v>
      </c>
      <c r="B499" t="s">
        <v>645</v>
      </c>
      <c r="C499" t="s">
        <v>138</v>
      </c>
      <c r="D499" t="s">
        <v>133</v>
      </c>
      <c r="E499" t="s">
        <v>121</v>
      </c>
      <c r="F499" s="2">
        <v>30</v>
      </c>
    </row>
    <row r="500" spans="1:6">
      <c r="A500" s="1">
        <v>43517</v>
      </c>
      <c r="B500" t="s">
        <v>646</v>
      </c>
      <c r="C500" t="s">
        <v>125</v>
      </c>
      <c r="D500" t="s">
        <v>139</v>
      </c>
      <c r="E500" t="s">
        <v>121</v>
      </c>
      <c r="F500" s="2">
        <v>80</v>
      </c>
    </row>
    <row r="501" spans="1:6">
      <c r="A501" s="1">
        <v>43518</v>
      </c>
      <c r="B501" t="s">
        <v>647</v>
      </c>
      <c r="C501" t="s">
        <v>143</v>
      </c>
      <c r="D501" t="s">
        <v>120</v>
      </c>
      <c r="E501" t="s">
        <v>121</v>
      </c>
      <c r="F501" s="2">
        <v>90</v>
      </c>
    </row>
    <row r="502" spans="1:6">
      <c r="A502" s="1">
        <v>43518</v>
      </c>
      <c r="B502" t="s">
        <v>648</v>
      </c>
      <c r="C502" t="s">
        <v>152</v>
      </c>
      <c r="D502" t="s">
        <v>130</v>
      </c>
      <c r="E502" t="s">
        <v>131</v>
      </c>
      <c r="F502" s="2">
        <v>100</v>
      </c>
    </row>
    <row r="503" spans="1:6">
      <c r="A503" s="1">
        <v>43518</v>
      </c>
      <c r="B503" t="s">
        <v>649</v>
      </c>
      <c r="C503" t="s">
        <v>152</v>
      </c>
      <c r="D503" t="s">
        <v>133</v>
      </c>
      <c r="E503" t="s">
        <v>153</v>
      </c>
      <c r="F503" s="2">
        <v>30</v>
      </c>
    </row>
    <row r="504" spans="1:6">
      <c r="A504" s="1">
        <v>43518</v>
      </c>
      <c r="B504" t="s">
        <v>650</v>
      </c>
      <c r="C504" t="s">
        <v>223</v>
      </c>
      <c r="D504" t="s">
        <v>130</v>
      </c>
      <c r="E504" t="s">
        <v>134</v>
      </c>
      <c r="F504" s="2">
        <v>100</v>
      </c>
    </row>
    <row r="505" spans="1:6">
      <c r="A505" s="1">
        <v>43518</v>
      </c>
      <c r="B505" t="s">
        <v>651</v>
      </c>
      <c r="C505" t="s">
        <v>157</v>
      </c>
      <c r="D505" t="s">
        <v>120</v>
      </c>
      <c r="E505" t="s">
        <v>131</v>
      </c>
      <c r="F505" s="2">
        <v>90</v>
      </c>
    </row>
    <row r="506" spans="1:6">
      <c r="A506" s="1">
        <v>43518</v>
      </c>
      <c r="B506" t="s">
        <v>652</v>
      </c>
      <c r="C506" t="s">
        <v>125</v>
      </c>
      <c r="D506" t="s">
        <v>139</v>
      </c>
      <c r="E506" t="s">
        <v>121</v>
      </c>
      <c r="F506" s="2">
        <v>80</v>
      </c>
    </row>
    <row r="507" spans="1:6">
      <c r="A507" s="1">
        <v>43518</v>
      </c>
      <c r="B507" t="s">
        <v>653</v>
      </c>
      <c r="C507" t="s">
        <v>187</v>
      </c>
      <c r="D507" t="s">
        <v>133</v>
      </c>
      <c r="E507" t="s">
        <v>134</v>
      </c>
      <c r="F507" s="2">
        <v>30</v>
      </c>
    </row>
    <row r="508" spans="1:6">
      <c r="A508" s="1">
        <v>43519</v>
      </c>
      <c r="B508" t="s">
        <v>654</v>
      </c>
      <c r="C508" t="s">
        <v>136</v>
      </c>
      <c r="D508" t="s">
        <v>126</v>
      </c>
      <c r="E508" t="s">
        <v>153</v>
      </c>
      <c r="F508" s="2">
        <v>160</v>
      </c>
    </row>
    <row r="509" spans="1:6">
      <c r="A509" s="1">
        <v>43519</v>
      </c>
      <c r="B509" t="s">
        <v>655</v>
      </c>
      <c r="C509" t="s">
        <v>125</v>
      </c>
      <c r="D509" t="s">
        <v>133</v>
      </c>
      <c r="E509" t="s">
        <v>121</v>
      </c>
      <c r="F509" s="2">
        <v>30</v>
      </c>
    </row>
    <row r="510" spans="1:6">
      <c r="A510" s="1">
        <v>43519</v>
      </c>
      <c r="B510" t="s">
        <v>656</v>
      </c>
      <c r="C510" t="s">
        <v>187</v>
      </c>
      <c r="D510" t="s">
        <v>159</v>
      </c>
      <c r="E510" t="s">
        <v>127</v>
      </c>
      <c r="F510" s="2">
        <v>150</v>
      </c>
    </row>
    <row r="511" spans="1:6">
      <c r="A511" s="1">
        <v>43519</v>
      </c>
      <c r="B511" t="s">
        <v>657</v>
      </c>
      <c r="C511" t="s">
        <v>129</v>
      </c>
      <c r="D511" t="s">
        <v>120</v>
      </c>
      <c r="E511" t="s">
        <v>121</v>
      </c>
      <c r="F511" s="2">
        <v>90</v>
      </c>
    </row>
    <row r="512" spans="1:6">
      <c r="A512" s="1">
        <v>43519</v>
      </c>
      <c r="B512" t="s">
        <v>658</v>
      </c>
      <c r="C512" t="s">
        <v>138</v>
      </c>
      <c r="D512" t="s">
        <v>159</v>
      </c>
      <c r="E512" t="s">
        <v>153</v>
      </c>
      <c r="F512" s="2">
        <v>150</v>
      </c>
    </row>
    <row r="513" spans="1:6">
      <c r="A513" s="1">
        <v>43519</v>
      </c>
      <c r="B513" t="s">
        <v>659</v>
      </c>
      <c r="C513" t="s">
        <v>152</v>
      </c>
      <c r="D513" t="s">
        <v>126</v>
      </c>
      <c r="E513" t="s">
        <v>131</v>
      </c>
      <c r="F513" s="2">
        <v>160</v>
      </c>
    </row>
    <row r="514" spans="1:6">
      <c r="A514" s="1">
        <v>43519</v>
      </c>
      <c r="B514" t="s">
        <v>660</v>
      </c>
      <c r="C514" t="s">
        <v>189</v>
      </c>
      <c r="D514" t="s">
        <v>120</v>
      </c>
      <c r="E514" t="s">
        <v>153</v>
      </c>
      <c r="F514" s="2">
        <v>90</v>
      </c>
    </row>
    <row r="515" spans="1:6">
      <c r="A515" s="1">
        <v>43519</v>
      </c>
      <c r="B515" t="s">
        <v>661</v>
      </c>
      <c r="C515" t="s">
        <v>189</v>
      </c>
      <c r="D515" t="s">
        <v>159</v>
      </c>
      <c r="E515" t="s">
        <v>131</v>
      </c>
      <c r="F515" s="2">
        <v>150</v>
      </c>
    </row>
    <row r="516" spans="1:6">
      <c r="A516" s="1">
        <v>43519</v>
      </c>
      <c r="B516" t="s">
        <v>662</v>
      </c>
      <c r="C516" t="s">
        <v>182</v>
      </c>
      <c r="D516" t="s">
        <v>120</v>
      </c>
      <c r="E516" t="s">
        <v>121</v>
      </c>
      <c r="F516" s="2">
        <v>90</v>
      </c>
    </row>
    <row r="517" spans="1:6">
      <c r="A517" s="1">
        <v>43519</v>
      </c>
      <c r="B517" t="s">
        <v>663</v>
      </c>
      <c r="C517" t="s">
        <v>164</v>
      </c>
      <c r="D517" t="s">
        <v>159</v>
      </c>
      <c r="E517" t="s">
        <v>127</v>
      </c>
      <c r="F517" s="2">
        <v>150</v>
      </c>
    </row>
    <row r="518" spans="1:6">
      <c r="A518" s="1">
        <v>43519</v>
      </c>
      <c r="B518" t="s">
        <v>664</v>
      </c>
      <c r="C518" t="s">
        <v>187</v>
      </c>
      <c r="D518" t="s">
        <v>146</v>
      </c>
      <c r="E518" t="s">
        <v>127</v>
      </c>
      <c r="F518" s="2">
        <v>50</v>
      </c>
    </row>
    <row r="519" spans="1:6">
      <c r="A519" s="1">
        <v>43519</v>
      </c>
      <c r="B519" t="s">
        <v>665</v>
      </c>
      <c r="C519" t="s">
        <v>187</v>
      </c>
      <c r="D519" t="s">
        <v>130</v>
      </c>
      <c r="E519" t="s">
        <v>127</v>
      </c>
      <c r="F519" s="2">
        <v>100</v>
      </c>
    </row>
    <row r="520" spans="1:6">
      <c r="A520" s="1">
        <v>43520</v>
      </c>
      <c r="B520" t="s">
        <v>666</v>
      </c>
      <c r="C520" t="s">
        <v>143</v>
      </c>
      <c r="D520" t="s">
        <v>133</v>
      </c>
      <c r="E520" t="s">
        <v>153</v>
      </c>
      <c r="F520" s="2">
        <v>30</v>
      </c>
    </row>
    <row r="521" spans="1:6">
      <c r="A521" s="1">
        <v>43520</v>
      </c>
      <c r="B521" t="s">
        <v>667</v>
      </c>
      <c r="C521" t="s">
        <v>138</v>
      </c>
      <c r="D521" t="s">
        <v>139</v>
      </c>
      <c r="E521" t="s">
        <v>121</v>
      </c>
      <c r="F521" s="2">
        <v>80</v>
      </c>
    </row>
    <row r="522" spans="1:6">
      <c r="A522" s="1">
        <v>43520</v>
      </c>
      <c r="B522" t="s">
        <v>668</v>
      </c>
      <c r="C522" t="s">
        <v>157</v>
      </c>
      <c r="D522" t="s">
        <v>133</v>
      </c>
      <c r="E522" t="s">
        <v>134</v>
      </c>
      <c r="F522" s="2">
        <v>30</v>
      </c>
    </row>
    <row r="523" spans="1:6">
      <c r="A523" s="1">
        <v>43520</v>
      </c>
      <c r="B523" t="s">
        <v>669</v>
      </c>
      <c r="C523" t="s">
        <v>182</v>
      </c>
      <c r="D523" t="s">
        <v>130</v>
      </c>
      <c r="E523" t="s">
        <v>134</v>
      </c>
      <c r="F523" s="2">
        <v>100</v>
      </c>
    </row>
    <row r="524" spans="1:6">
      <c r="A524" s="1">
        <v>43520</v>
      </c>
      <c r="B524" t="s">
        <v>670</v>
      </c>
      <c r="C524" t="s">
        <v>164</v>
      </c>
      <c r="D524" t="s">
        <v>139</v>
      </c>
      <c r="E524" t="s">
        <v>127</v>
      </c>
      <c r="F524" s="2">
        <v>80</v>
      </c>
    </row>
    <row r="525" spans="1:6">
      <c r="A525" s="1">
        <v>43520</v>
      </c>
      <c r="B525" t="s">
        <v>671</v>
      </c>
      <c r="C525" t="s">
        <v>187</v>
      </c>
      <c r="D525" t="s">
        <v>126</v>
      </c>
      <c r="E525" t="s">
        <v>134</v>
      </c>
      <c r="F525" s="2">
        <v>160</v>
      </c>
    </row>
    <row r="526" spans="1:6">
      <c r="A526" s="1">
        <v>43520</v>
      </c>
      <c r="B526" t="s">
        <v>672</v>
      </c>
      <c r="C526" t="s">
        <v>125</v>
      </c>
      <c r="D526" t="s">
        <v>139</v>
      </c>
      <c r="E526" t="s">
        <v>131</v>
      </c>
      <c r="F526" s="2">
        <v>80</v>
      </c>
    </row>
    <row r="527" spans="1:6">
      <c r="A527" s="1">
        <v>43520</v>
      </c>
      <c r="B527" t="s">
        <v>673</v>
      </c>
      <c r="C527" t="s">
        <v>148</v>
      </c>
      <c r="D527" t="s">
        <v>133</v>
      </c>
      <c r="E527" t="s">
        <v>134</v>
      </c>
      <c r="F527" s="2">
        <v>30</v>
      </c>
    </row>
    <row r="528" spans="1:6">
      <c r="A528" s="1">
        <v>43520</v>
      </c>
      <c r="B528" t="s">
        <v>674</v>
      </c>
      <c r="C528" t="s">
        <v>143</v>
      </c>
      <c r="D528" t="s">
        <v>141</v>
      </c>
      <c r="E528" t="s">
        <v>121</v>
      </c>
      <c r="F528" s="2">
        <v>180</v>
      </c>
    </row>
    <row r="529" spans="1:6">
      <c r="A529" s="1">
        <v>43520</v>
      </c>
      <c r="B529" t="s">
        <v>675</v>
      </c>
      <c r="C529" t="s">
        <v>189</v>
      </c>
      <c r="D529" t="s">
        <v>133</v>
      </c>
      <c r="E529" t="s">
        <v>127</v>
      </c>
      <c r="F529" s="2">
        <v>30</v>
      </c>
    </row>
    <row r="530" spans="1:6">
      <c r="A530" s="1">
        <v>43520</v>
      </c>
      <c r="B530" t="s">
        <v>676</v>
      </c>
      <c r="C530" t="s">
        <v>167</v>
      </c>
      <c r="D530" t="s">
        <v>133</v>
      </c>
      <c r="E530" t="s">
        <v>153</v>
      </c>
      <c r="F530" s="2">
        <v>30</v>
      </c>
    </row>
    <row r="531" spans="1:6">
      <c r="A531" s="1">
        <v>43521</v>
      </c>
      <c r="B531" t="s">
        <v>677</v>
      </c>
      <c r="C531" t="s">
        <v>157</v>
      </c>
      <c r="D531" t="s">
        <v>139</v>
      </c>
      <c r="E531" t="s">
        <v>127</v>
      </c>
      <c r="F531" s="2">
        <v>80</v>
      </c>
    </row>
    <row r="532" spans="1:6">
      <c r="A532" s="1">
        <v>43521</v>
      </c>
      <c r="B532" t="s">
        <v>678</v>
      </c>
      <c r="C532" t="s">
        <v>189</v>
      </c>
      <c r="D532" t="s">
        <v>130</v>
      </c>
      <c r="E532" t="s">
        <v>134</v>
      </c>
      <c r="F532" s="2">
        <v>100</v>
      </c>
    </row>
    <row r="533" spans="1:6">
      <c r="A533" s="1">
        <v>43521</v>
      </c>
      <c r="B533" t="s">
        <v>679</v>
      </c>
      <c r="C533" t="s">
        <v>119</v>
      </c>
      <c r="D533" t="s">
        <v>133</v>
      </c>
      <c r="E533" t="s">
        <v>134</v>
      </c>
      <c r="F533" s="2">
        <v>30</v>
      </c>
    </row>
    <row r="534" spans="1:6">
      <c r="A534" s="1">
        <v>43521</v>
      </c>
      <c r="B534" t="s">
        <v>680</v>
      </c>
      <c r="C534" t="s">
        <v>148</v>
      </c>
      <c r="D534" t="s">
        <v>130</v>
      </c>
      <c r="E534" t="s">
        <v>131</v>
      </c>
      <c r="F534" s="2">
        <v>100</v>
      </c>
    </row>
    <row r="535" spans="1:6">
      <c r="A535" s="1">
        <v>43521</v>
      </c>
      <c r="B535" t="s">
        <v>681</v>
      </c>
      <c r="C535" t="s">
        <v>187</v>
      </c>
      <c r="D535" t="s">
        <v>139</v>
      </c>
      <c r="E535" t="s">
        <v>134</v>
      </c>
      <c r="F535" s="2">
        <v>80</v>
      </c>
    </row>
    <row r="536" spans="1:6">
      <c r="A536" s="1">
        <v>43521</v>
      </c>
      <c r="B536" t="s">
        <v>682</v>
      </c>
      <c r="C536" t="s">
        <v>119</v>
      </c>
      <c r="D536" t="s">
        <v>120</v>
      </c>
      <c r="E536" t="s">
        <v>121</v>
      </c>
      <c r="F536" s="2">
        <v>90</v>
      </c>
    </row>
    <row r="537" spans="1:6">
      <c r="A537" s="1">
        <v>43521</v>
      </c>
      <c r="B537" t="s">
        <v>683</v>
      </c>
      <c r="C537" t="s">
        <v>167</v>
      </c>
      <c r="D537" t="s">
        <v>120</v>
      </c>
      <c r="E537" t="s">
        <v>153</v>
      </c>
      <c r="F537" s="2">
        <v>90</v>
      </c>
    </row>
    <row r="538" spans="1:6">
      <c r="A538" s="1">
        <v>43521</v>
      </c>
      <c r="B538" t="s">
        <v>684</v>
      </c>
      <c r="C538" t="s">
        <v>143</v>
      </c>
      <c r="D538" t="s">
        <v>133</v>
      </c>
      <c r="E538" t="s">
        <v>153</v>
      </c>
      <c r="F538" s="2">
        <v>30</v>
      </c>
    </row>
    <row r="539" spans="1:6">
      <c r="A539" s="1">
        <v>43521</v>
      </c>
      <c r="B539" t="s">
        <v>685</v>
      </c>
      <c r="C539" t="s">
        <v>189</v>
      </c>
      <c r="D539" t="s">
        <v>130</v>
      </c>
      <c r="E539" t="s">
        <v>121</v>
      </c>
      <c r="F539" s="2">
        <v>100</v>
      </c>
    </row>
    <row r="540" spans="1:6">
      <c r="A540" s="1">
        <v>43521</v>
      </c>
      <c r="B540" t="s">
        <v>686</v>
      </c>
      <c r="C540" t="s">
        <v>129</v>
      </c>
      <c r="D540" t="s">
        <v>126</v>
      </c>
      <c r="E540" t="s">
        <v>153</v>
      </c>
      <c r="F540" s="2">
        <v>160</v>
      </c>
    </row>
    <row r="541" spans="1:6">
      <c r="A541" s="1">
        <v>43521</v>
      </c>
      <c r="B541" t="s">
        <v>687</v>
      </c>
      <c r="C541" t="s">
        <v>167</v>
      </c>
      <c r="D541" t="s">
        <v>126</v>
      </c>
      <c r="E541" t="s">
        <v>134</v>
      </c>
      <c r="F541" s="2">
        <v>160</v>
      </c>
    </row>
    <row r="542" spans="1:6">
      <c r="A542" s="1">
        <v>43521</v>
      </c>
      <c r="B542" t="s">
        <v>688</v>
      </c>
      <c r="C542" t="s">
        <v>164</v>
      </c>
      <c r="D542" t="s">
        <v>126</v>
      </c>
      <c r="E542" t="s">
        <v>134</v>
      </c>
      <c r="F542" s="2">
        <v>160</v>
      </c>
    </row>
    <row r="543" spans="1:6">
      <c r="A543" s="1">
        <v>43521</v>
      </c>
      <c r="B543" t="s">
        <v>689</v>
      </c>
      <c r="C543" t="s">
        <v>138</v>
      </c>
      <c r="D543" t="s">
        <v>126</v>
      </c>
      <c r="E543" t="s">
        <v>127</v>
      </c>
      <c r="F543" s="2">
        <v>160</v>
      </c>
    </row>
    <row r="544" spans="1:6">
      <c r="A544" s="1">
        <v>43522</v>
      </c>
      <c r="B544" t="s">
        <v>690</v>
      </c>
      <c r="C544" t="s">
        <v>167</v>
      </c>
      <c r="D544" t="s">
        <v>139</v>
      </c>
      <c r="E544" t="s">
        <v>127</v>
      </c>
      <c r="F544" s="2">
        <v>80</v>
      </c>
    </row>
    <row r="545" spans="1:6">
      <c r="A545" s="1">
        <v>43522</v>
      </c>
      <c r="B545" t="s">
        <v>691</v>
      </c>
      <c r="C545" t="s">
        <v>182</v>
      </c>
      <c r="D545" t="s">
        <v>146</v>
      </c>
      <c r="E545" t="s">
        <v>134</v>
      </c>
      <c r="F545" s="2">
        <v>50</v>
      </c>
    </row>
    <row r="546" spans="1:6">
      <c r="A546" s="1">
        <v>43522</v>
      </c>
      <c r="B546" t="s">
        <v>692</v>
      </c>
      <c r="C546" t="s">
        <v>125</v>
      </c>
      <c r="D546" t="s">
        <v>133</v>
      </c>
      <c r="E546" t="s">
        <v>131</v>
      </c>
      <c r="F546" s="2">
        <v>30</v>
      </c>
    </row>
    <row r="547" spans="1:6">
      <c r="A547" s="1">
        <v>43522</v>
      </c>
      <c r="B547" t="s">
        <v>693</v>
      </c>
      <c r="C547" t="s">
        <v>167</v>
      </c>
      <c r="D547" t="s">
        <v>133</v>
      </c>
      <c r="E547" t="s">
        <v>153</v>
      </c>
      <c r="F547" s="2">
        <v>30</v>
      </c>
    </row>
    <row r="548" spans="1:6">
      <c r="A548" s="1">
        <v>43522</v>
      </c>
      <c r="B548" t="s">
        <v>694</v>
      </c>
      <c r="C548" t="s">
        <v>136</v>
      </c>
      <c r="D548" t="s">
        <v>146</v>
      </c>
      <c r="E548" t="s">
        <v>134</v>
      </c>
      <c r="F548" s="2">
        <v>50</v>
      </c>
    </row>
    <row r="549" spans="1:6">
      <c r="A549" s="1">
        <v>43522</v>
      </c>
      <c r="B549" t="s">
        <v>695</v>
      </c>
      <c r="C549" t="s">
        <v>123</v>
      </c>
      <c r="D549" t="s">
        <v>126</v>
      </c>
      <c r="E549" t="s">
        <v>121</v>
      </c>
      <c r="F549" s="2">
        <v>160</v>
      </c>
    </row>
    <row r="550" spans="1:6">
      <c r="A550" s="1">
        <v>43523</v>
      </c>
      <c r="B550" t="s">
        <v>696</v>
      </c>
      <c r="C550" t="s">
        <v>167</v>
      </c>
      <c r="D550" t="s">
        <v>141</v>
      </c>
      <c r="E550" t="s">
        <v>121</v>
      </c>
      <c r="F550" s="2">
        <v>180</v>
      </c>
    </row>
    <row r="551" spans="1:6">
      <c r="A551" s="1">
        <v>43523</v>
      </c>
      <c r="B551" t="s">
        <v>697</v>
      </c>
      <c r="C551" t="s">
        <v>123</v>
      </c>
      <c r="D551" t="s">
        <v>141</v>
      </c>
      <c r="E551" t="s">
        <v>134</v>
      </c>
      <c r="F551" s="2">
        <v>180</v>
      </c>
    </row>
    <row r="552" spans="1:6">
      <c r="A552" s="1">
        <v>43523</v>
      </c>
      <c r="B552" t="s">
        <v>698</v>
      </c>
      <c r="C552" t="s">
        <v>125</v>
      </c>
      <c r="D552" t="s">
        <v>126</v>
      </c>
      <c r="E552" t="s">
        <v>134</v>
      </c>
      <c r="F552" s="2">
        <v>160</v>
      </c>
    </row>
    <row r="553" spans="1:6">
      <c r="A553" s="1">
        <v>43523</v>
      </c>
      <c r="B553" t="s">
        <v>699</v>
      </c>
      <c r="C553" t="s">
        <v>119</v>
      </c>
      <c r="D553" t="s">
        <v>159</v>
      </c>
      <c r="E553" t="s">
        <v>127</v>
      </c>
      <c r="F553" s="2">
        <v>150</v>
      </c>
    </row>
    <row r="554" spans="1:6">
      <c r="A554" s="1">
        <v>43523</v>
      </c>
      <c r="B554" t="s">
        <v>700</v>
      </c>
      <c r="C554" t="s">
        <v>129</v>
      </c>
      <c r="D554" t="s">
        <v>133</v>
      </c>
      <c r="E554" t="s">
        <v>127</v>
      </c>
      <c r="F554" s="2">
        <v>30</v>
      </c>
    </row>
    <row r="555" spans="1:6">
      <c r="A555" s="1">
        <v>43523</v>
      </c>
      <c r="B555" t="s">
        <v>701</v>
      </c>
      <c r="C555" t="s">
        <v>119</v>
      </c>
      <c r="D555" t="s">
        <v>120</v>
      </c>
      <c r="E555" t="s">
        <v>153</v>
      </c>
      <c r="F555" s="2">
        <v>90</v>
      </c>
    </row>
    <row r="556" spans="1:6">
      <c r="A556" s="1">
        <v>43523</v>
      </c>
      <c r="B556" t="s">
        <v>702</v>
      </c>
      <c r="C556" t="s">
        <v>164</v>
      </c>
      <c r="D556" t="s">
        <v>139</v>
      </c>
      <c r="E556" t="s">
        <v>153</v>
      </c>
      <c r="F556" s="2">
        <v>80</v>
      </c>
    </row>
    <row r="557" spans="1:6">
      <c r="A557" s="1">
        <v>43523</v>
      </c>
      <c r="B557" t="s">
        <v>703</v>
      </c>
      <c r="C557" t="s">
        <v>143</v>
      </c>
      <c r="D557" t="s">
        <v>141</v>
      </c>
      <c r="E557" t="s">
        <v>121</v>
      </c>
      <c r="F557" s="2">
        <v>180</v>
      </c>
    </row>
    <row r="558" spans="1:6">
      <c r="A558" s="1">
        <v>43523</v>
      </c>
      <c r="B558" t="s">
        <v>704</v>
      </c>
      <c r="C558" t="s">
        <v>157</v>
      </c>
      <c r="D558" t="s">
        <v>141</v>
      </c>
      <c r="E558" t="s">
        <v>134</v>
      </c>
      <c r="F558" s="2">
        <v>180</v>
      </c>
    </row>
    <row r="559" spans="1:6">
      <c r="A559" s="1">
        <v>43523</v>
      </c>
      <c r="B559" t="s">
        <v>705</v>
      </c>
      <c r="C559" t="s">
        <v>189</v>
      </c>
      <c r="D559" t="s">
        <v>139</v>
      </c>
      <c r="E559" t="s">
        <v>127</v>
      </c>
      <c r="F559" s="2">
        <v>80</v>
      </c>
    </row>
    <row r="560" spans="1:6">
      <c r="A560" s="1">
        <v>43524</v>
      </c>
      <c r="B560" t="s">
        <v>706</v>
      </c>
      <c r="C560" t="s">
        <v>136</v>
      </c>
      <c r="D560" t="s">
        <v>159</v>
      </c>
      <c r="E560" t="s">
        <v>153</v>
      </c>
      <c r="F560" s="2">
        <v>150</v>
      </c>
    </row>
    <row r="561" spans="1:6">
      <c r="A561" s="1">
        <v>43524</v>
      </c>
      <c r="B561" t="s">
        <v>707</v>
      </c>
      <c r="C561" t="s">
        <v>145</v>
      </c>
      <c r="D561" t="s">
        <v>126</v>
      </c>
      <c r="E561" t="s">
        <v>153</v>
      </c>
      <c r="F561" s="2">
        <v>160</v>
      </c>
    </row>
    <row r="562" spans="1:6">
      <c r="A562" s="1">
        <v>43524</v>
      </c>
      <c r="B562" t="s">
        <v>708</v>
      </c>
      <c r="C562" t="s">
        <v>136</v>
      </c>
      <c r="D562" t="s">
        <v>159</v>
      </c>
      <c r="E562" t="s">
        <v>134</v>
      </c>
      <c r="F562" s="2">
        <v>150</v>
      </c>
    </row>
    <row r="563" spans="1:6">
      <c r="A563" s="1">
        <v>43524</v>
      </c>
      <c r="B563" t="s">
        <v>709</v>
      </c>
      <c r="C563" t="s">
        <v>167</v>
      </c>
      <c r="D563" t="s">
        <v>126</v>
      </c>
      <c r="E563" t="s">
        <v>131</v>
      </c>
      <c r="F563" s="2">
        <v>160</v>
      </c>
    </row>
    <row r="564" spans="1:6">
      <c r="A564" s="1">
        <v>43524</v>
      </c>
      <c r="B564" t="s">
        <v>710</v>
      </c>
      <c r="C564" t="s">
        <v>136</v>
      </c>
      <c r="D564" t="s">
        <v>159</v>
      </c>
      <c r="E564" t="s">
        <v>153</v>
      </c>
      <c r="F564" s="2">
        <v>150</v>
      </c>
    </row>
    <row r="565" spans="1:6">
      <c r="A565" s="1">
        <v>43524</v>
      </c>
      <c r="B565" t="s">
        <v>711</v>
      </c>
      <c r="C565" t="s">
        <v>143</v>
      </c>
      <c r="D565" t="s">
        <v>130</v>
      </c>
      <c r="E565" t="s">
        <v>131</v>
      </c>
      <c r="F565" s="2">
        <v>100</v>
      </c>
    </row>
    <row r="566" spans="1:6">
      <c r="A566" s="1">
        <v>43524</v>
      </c>
      <c r="B566" t="s">
        <v>712</v>
      </c>
      <c r="C566" t="s">
        <v>129</v>
      </c>
      <c r="D566" t="s">
        <v>130</v>
      </c>
      <c r="E566" t="s">
        <v>127</v>
      </c>
      <c r="F566" s="2">
        <v>100</v>
      </c>
    </row>
    <row r="567" spans="1:6">
      <c r="A567" s="1">
        <v>43524</v>
      </c>
      <c r="B567" t="s">
        <v>713</v>
      </c>
      <c r="C567" t="s">
        <v>157</v>
      </c>
      <c r="D567" t="s">
        <v>139</v>
      </c>
      <c r="E567" t="s">
        <v>127</v>
      </c>
      <c r="F567" s="2">
        <v>80</v>
      </c>
    </row>
    <row r="568" spans="1:6">
      <c r="A568" s="1">
        <v>43524</v>
      </c>
      <c r="B568" t="s">
        <v>714</v>
      </c>
      <c r="C568" t="s">
        <v>129</v>
      </c>
      <c r="D568" t="s">
        <v>141</v>
      </c>
      <c r="E568" t="s">
        <v>121</v>
      </c>
      <c r="F568" s="2">
        <v>180</v>
      </c>
    </row>
    <row r="569" spans="1:6">
      <c r="A569" s="1">
        <v>43525</v>
      </c>
      <c r="B569" t="s">
        <v>715</v>
      </c>
      <c r="C569" t="s">
        <v>157</v>
      </c>
      <c r="D569" t="s">
        <v>139</v>
      </c>
      <c r="E569" t="s">
        <v>127</v>
      </c>
      <c r="F569" s="2">
        <v>80</v>
      </c>
    </row>
    <row r="570" spans="1:6">
      <c r="A570" s="1">
        <v>43525</v>
      </c>
      <c r="B570" t="s">
        <v>716</v>
      </c>
      <c r="C570" t="s">
        <v>136</v>
      </c>
      <c r="D570" t="s">
        <v>141</v>
      </c>
      <c r="E570" t="s">
        <v>127</v>
      </c>
      <c r="F570" s="2">
        <v>180</v>
      </c>
    </row>
    <row r="571" spans="1:6">
      <c r="A571" s="1">
        <v>43525</v>
      </c>
      <c r="B571" t="s">
        <v>717</v>
      </c>
      <c r="C571" t="s">
        <v>187</v>
      </c>
      <c r="D571" t="s">
        <v>141</v>
      </c>
      <c r="E571" t="s">
        <v>153</v>
      </c>
      <c r="F571" s="2">
        <v>180</v>
      </c>
    </row>
    <row r="572" spans="1:6">
      <c r="A572" s="1">
        <v>43525</v>
      </c>
      <c r="B572" t="s">
        <v>718</v>
      </c>
      <c r="C572" t="s">
        <v>125</v>
      </c>
      <c r="D572" t="s">
        <v>126</v>
      </c>
      <c r="E572" t="s">
        <v>127</v>
      </c>
      <c r="F572" s="2">
        <v>160</v>
      </c>
    </row>
    <row r="573" spans="1:6">
      <c r="A573" s="1">
        <v>43525</v>
      </c>
      <c r="B573" t="s">
        <v>719</v>
      </c>
      <c r="C573" t="s">
        <v>167</v>
      </c>
      <c r="D573" t="s">
        <v>139</v>
      </c>
      <c r="E573" t="s">
        <v>131</v>
      </c>
      <c r="F573" s="2">
        <v>80</v>
      </c>
    </row>
    <row r="574" spans="1:6">
      <c r="A574" s="1">
        <v>43525</v>
      </c>
      <c r="B574" t="s">
        <v>720</v>
      </c>
      <c r="C574" t="s">
        <v>125</v>
      </c>
      <c r="D574" t="s">
        <v>126</v>
      </c>
      <c r="E574" t="s">
        <v>121</v>
      </c>
      <c r="F574" s="2">
        <v>160</v>
      </c>
    </row>
    <row r="575" spans="1:6">
      <c r="A575" s="1">
        <v>43525</v>
      </c>
      <c r="B575" t="s">
        <v>721</v>
      </c>
      <c r="C575" t="s">
        <v>182</v>
      </c>
      <c r="D575" t="s">
        <v>130</v>
      </c>
      <c r="E575" t="s">
        <v>153</v>
      </c>
      <c r="F575" s="2">
        <v>100</v>
      </c>
    </row>
    <row r="576" spans="1:6">
      <c r="A576" s="1">
        <v>43525</v>
      </c>
      <c r="B576" t="s">
        <v>722</v>
      </c>
      <c r="C576" t="s">
        <v>164</v>
      </c>
      <c r="D576" t="s">
        <v>139</v>
      </c>
      <c r="E576" t="s">
        <v>121</v>
      </c>
      <c r="F576" s="2">
        <v>80</v>
      </c>
    </row>
    <row r="577" spans="1:6">
      <c r="A577" s="1">
        <v>43525</v>
      </c>
      <c r="B577" t="s">
        <v>723</v>
      </c>
      <c r="C577" t="s">
        <v>164</v>
      </c>
      <c r="D577" t="s">
        <v>120</v>
      </c>
      <c r="E577" t="s">
        <v>127</v>
      </c>
      <c r="F577" s="2">
        <v>90</v>
      </c>
    </row>
    <row r="578" spans="1:6">
      <c r="A578" s="1">
        <v>43525</v>
      </c>
      <c r="B578" t="s">
        <v>724</v>
      </c>
      <c r="C578" t="s">
        <v>152</v>
      </c>
      <c r="D578" t="s">
        <v>146</v>
      </c>
      <c r="E578" t="s">
        <v>127</v>
      </c>
      <c r="F578" s="2">
        <v>50</v>
      </c>
    </row>
    <row r="579" spans="1:6">
      <c r="A579" s="1">
        <v>43525</v>
      </c>
      <c r="B579" t="s">
        <v>725</v>
      </c>
      <c r="C579" t="s">
        <v>223</v>
      </c>
      <c r="D579" t="s">
        <v>120</v>
      </c>
      <c r="E579" t="s">
        <v>127</v>
      </c>
      <c r="F579" s="2">
        <v>90</v>
      </c>
    </row>
    <row r="580" spans="1:6">
      <c r="A580" s="1">
        <v>43525</v>
      </c>
      <c r="B580" t="s">
        <v>726</v>
      </c>
      <c r="C580" t="s">
        <v>143</v>
      </c>
      <c r="D580" t="s">
        <v>159</v>
      </c>
      <c r="E580" t="s">
        <v>127</v>
      </c>
      <c r="F580" s="2">
        <v>150</v>
      </c>
    </row>
    <row r="581" spans="1:6">
      <c r="A581" s="1">
        <v>43525</v>
      </c>
      <c r="B581" t="s">
        <v>727</v>
      </c>
      <c r="C581" t="s">
        <v>125</v>
      </c>
      <c r="D581" t="s">
        <v>120</v>
      </c>
      <c r="E581" t="s">
        <v>131</v>
      </c>
      <c r="F581" s="2">
        <v>90</v>
      </c>
    </row>
    <row r="582" spans="1:6">
      <c r="A582" s="1">
        <v>43526</v>
      </c>
      <c r="B582" t="s">
        <v>728</v>
      </c>
      <c r="C582" t="s">
        <v>129</v>
      </c>
      <c r="D582" t="s">
        <v>139</v>
      </c>
      <c r="E582" t="s">
        <v>131</v>
      </c>
      <c r="F582" s="2">
        <v>80</v>
      </c>
    </row>
    <row r="583" spans="1:6">
      <c r="A583" s="1">
        <v>43527</v>
      </c>
      <c r="B583" t="s">
        <v>729</v>
      </c>
      <c r="C583" t="s">
        <v>123</v>
      </c>
      <c r="D583" t="s">
        <v>120</v>
      </c>
      <c r="E583" t="s">
        <v>153</v>
      </c>
      <c r="F583" s="2">
        <v>90</v>
      </c>
    </row>
    <row r="584" spans="1:6">
      <c r="A584" s="1">
        <v>43527</v>
      </c>
      <c r="B584" t="s">
        <v>730</v>
      </c>
      <c r="C584" t="s">
        <v>152</v>
      </c>
      <c r="D584" t="s">
        <v>141</v>
      </c>
      <c r="E584" t="s">
        <v>134</v>
      </c>
      <c r="F584" s="2">
        <v>180</v>
      </c>
    </row>
    <row r="585" spans="1:6">
      <c r="A585" s="1">
        <v>43527</v>
      </c>
      <c r="B585" t="s">
        <v>731</v>
      </c>
      <c r="C585" t="s">
        <v>148</v>
      </c>
      <c r="D585" t="s">
        <v>141</v>
      </c>
      <c r="E585" t="s">
        <v>121</v>
      </c>
      <c r="F585" s="2">
        <v>180</v>
      </c>
    </row>
    <row r="586" spans="1:6">
      <c r="A586" s="1">
        <v>43527</v>
      </c>
      <c r="B586" t="s">
        <v>732</v>
      </c>
      <c r="C586" t="s">
        <v>164</v>
      </c>
      <c r="D586" t="s">
        <v>139</v>
      </c>
      <c r="E586" t="s">
        <v>153</v>
      </c>
      <c r="F586" s="2">
        <v>80</v>
      </c>
    </row>
    <row r="587" spans="1:6">
      <c r="A587" s="1">
        <v>43527</v>
      </c>
      <c r="B587" t="s">
        <v>733</v>
      </c>
      <c r="C587" t="s">
        <v>136</v>
      </c>
      <c r="D587" t="s">
        <v>133</v>
      </c>
      <c r="E587" t="s">
        <v>121</v>
      </c>
      <c r="F587" s="2">
        <v>30</v>
      </c>
    </row>
    <row r="588" spans="1:6">
      <c r="A588" s="1">
        <v>43527</v>
      </c>
      <c r="B588" t="s">
        <v>734</v>
      </c>
      <c r="C588" t="s">
        <v>164</v>
      </c>
      <c r="D588" t="s">
        <v>141</v>
      </c>
      <c r="E588" t="s">
        <v>153</v>
      </c>
      <c r="F588" s="2">
        <v>180</v>
      </c>
    </row>
    <row r="589" spans="1:6">
      <c r="A589" s="1">
        <v>43527</v>
      </c>
      <c r="B589" t="s">
        <v>735</v>
      </c>
      <c r="C589" t="s">
        <v>123</v>
      </c>
      <c r="D589" t="s">
        <v>139</v>
      </c>
      <c r="E589" t="s">
        <v>134</v>
      </c>
      <c r="F589" s="2">
        <v>80</v>
      </c>
    </row>
    <row r="590" spans="1:6">
      <c r="A590" s="1">
        <v>43527</v>
      </c>
      <c r="B590" t="s">
        <v>736</v>
      </c>
      <c r="C590" t="s">
        <v>167</v>
      </c>
      <c r="D590" t="s">
        <v>126</v>
      </c>
      <c r="E590" t="s">
        <v>134</v>
      </c>
      <c r="F590" s="2">
        <v>160</v>
      </c>
    </row>
    <row r="591" spans="1:6">
      <c r="A591" s="1">
        <v>43528</v>
      </c>
      <c r="B591" t="s">
        <v>737</v>
      </c>
      <c r="C591" t="s">
        <v>167</v>
      </c>
      <c r="D591" t="s">
        <v>120</v>
      </c>
      <c r="E591" t="s">
        <v>134</v>
      </c>
      <c r="F591" s="2">
        <v>90</v>
      </c>
    </row>
    <row r="592" spans="1:6">
      <c r="A592" s="1">
        <v>43528</v>
      </c>
      <c r="B592" t="s">
        <v>738</v>
      </c>
      <c r="C592" t="s">
        <v>138</v>
      </c>
      <c r="D592" t="s">
        <v>126</v>
      </c>
      <c r="E592" t="s">
        <v>134</v>
      </c>
      <c r="F592" s="2">
        <v>160</v>
      </c>
    </row>
    <row r="593" spans="1:6">
      <c r="A593" s="1">
        <v>43528</v>
      </c>
      <c r="B593" t="s">
        <v>739</v>
      </c>
      <c r="C593" t="s">
        <v>157</v>
      </c>
      <c r="D593" t="s">
        <v>126</v>
      </c>
      <c r="E593" t="s">
        <v>153</v>
      </c>
      <c r="F593" s="2">
        <v>160</v>
      </c>
    </row>
    <row r="594" spans="1:6">
      <c r="A594" s="1">
        <v>43528</v>
      </c>
      <c r="B594" t="s">
        <v>740</v>
      </c>
      <c r="C594" t="s">
        <v>145</v>
      </c>
      <c r="D594" t="s">
        <v>126</v>
      </c>
      <c r="E594" t="s">
        <v>153</v>
      </c>
      <c r="F594" s="2">
        <v>160</v>
      </c>
    </row>
    <row r="595" spans="1:6">
      <c r="A595" s="1">
        <v>43528</v>
      </c>
      <c r="B595" t="s">
        <v>741</v>
      </c>
      <c r="C595" t="s">
        <v>143</v>
      </c>
      <c r="D595" t="s">
        <v>146</v>
      </c>
      <c r="E595" t="s">
        <v>121</v>
      </c>
      <c r="F595" s="2">
        <v>50</v>
      </c>
    </row>
    <row r="596" spans="1:6">
      <c r="A596" s="1">
        <v>43528</v>
      </c>
      <c r="B596" t="s">
        <v>742</v>
      </c>
      <c r="C596" t="s">
        <v>125</v>
      </c>
      <c r="D596" t="s">
        <v>159</v>
      </c>
      <c r="E596" t="s">
        <v>127</v>
      </c>
      <c r="F596" s="2">
        <v>150</v>
      </c>
    </row>
    <row r="597" spans="1:6">
      <c r="A597" s="1">
        <v>43528</v>
      </c>
      <c r="B597" t="s">
        <v>743</v>
      </c>
      <c r="C597" t="s">
        <v>125</v>
      </c>
      <c r="D597" t="s">
        <v>126</v>
      </c>
      <c r="E597" t="s">
        <v>134</v>
      </c>
      <c r="F597" s="2">
        <v>160</v>
      </c>
    </row>
    <row r="598" spans="1:6">
      <c r="A598" s="1">
        <v>43528</v>
      </c>
      <c r="B598" t="s">
        <v>744</v>
      </c>
      <c r="C598" t="s">
        <v>145</v>
      </c>
      <c r="D598" t="s">
        <v>120</v>
      </c>
      <c r="E598" t="s">
        <v>121</v>
      </c>
      <c r="F598" s="2">
        <v>90</v>
      </c>
    </row>
    <row r="599" spans="1:6">
      <c r="A599" s="1">
        <v>43528</v>
      </c>
      <c r="B599" t="s">
        <v>745</v>
      </c>
      <c r="C599" t="s">
        <v>145</v>
      </c>
      <c r="D599" t="s">
        <v>126</v>
      </c>
      <c r="E599" t="s">
        <v>127</v>
      </c>
      <c r="F599" s="2">
        <v>160</v>
      </c>
    </row>
    <row r="600" spans="1:6">
      <c r="A600" s="1">
        <v>43528</v>
      </c>
      <c r="B600" t="s">
        <v>746</v>
      </c>
      <c r="C600" t="s">
        <v>167</v>
      </c>
      <c r="D600" t="s">
        <v>141</v>
      </c>
      <c r="E600" t="s">
        <v>153</v>
      </c>
      <c r="F600" s="2">
        <v>180</v>
      </c>
    </row>
    <row r="601" spans="1:6">
      <c r="A601" s="1">
        <v>43528</v>
      </c>
      <c r="B601" t="s">
        <v>747</v>
      </c>
      <c r="C601" t="s">
        <v>125</v>
      </c>
      <c r="D601" t="s">
        <v>139</v>
      </c>
      <c r="E601" t="s">
        <v>121</v>
      </c>
      <c r="F601" s="2">
        <v>80</v>
      </c>
    </row>
    <row r="602" spans="1:6">
      <c r="A602" s="1">
        <v>43529</v>
      </c>
      <c r="B602" t="s">
        <v>748</v>
      </c>
      <c r="C602" t="s">
        <v>119</v>
      </c>
      <c r="D602" t="s">
        <v>139</v>
      </c>
      <c r="E602" t="s">
        <v>134</v>
      </c>
      <c r="F602" s="2">
        <v>80</v>
      </c>
    </row>
    <row r="603" spans="1:6">
      <c r="A603" s="1">
        <v>43529</v>
      </c>
      <c r="B603" t="s">
        <v>749</v>
      </c>
      <c r="C603" t="s">
        <v>143</v>
      </c>
      <c r="D603" t="s">
        <v>141</v>
      </c>
      <c r="E603" t="s">
        <v>127</v>
      </c>
      <c r="F603" s="2">
        <v>180</v>
      </c>
    </row>
    <row r="604" spans="1:6">
      <c r="A604" s="1">
        <v>43529</v>
      </c>
      <c r="B604" t="s">
        <v>750</v>
      </c>
      <c r="C604" t="s">
        <v>223</v>
      </c>
      <c r="D604" t="s">
        <v>146</v>
      </c>
      <c r="E604" t="s">
        <v>153</v>
      </c>
      <c r="F604" s="2">
        <v>50</v>
      </c>
    </row>
    <row r="605" spans="1:6">
      <c r="A605" s="1">
        <v>43529</v>
      </c>
      <c r="B605" t="s">
        <v>751</v>
      </c>
      <c r="C605" t="s">
        <v>223</v>
      </c>
      <c r="D605" t="s">
        <v>159</v>
      </c>
      <c r="E605" t="s">
        <v>127</v>
      </c>
      <c r="F605" s="2">
        <v>150</v>
      </c>
    </row>
    <row r="606" spans="1:6">
      <c r="A606" s="1">
        <v>43529</v>
      </c>
      <c r="B606" t="s">
        <v>752</v>
      </c>
      <c r="C606" t="s">
        <v>152</v>
      </c>
      <c r="D606" t="s">
        <v>141</v>
      </c>
      <c r="E606" t="s">
        <v>127</v>
      </c>
      <c r="F606" s="2">
        <v>180</v>
      </c>
    </row>
    <row r="607" spans="1:6">
      <c r="A607" s="1">
        <v>43529</v>
      </c>
      <c r="B607" t="s">
        <v>753</v>
      </c>
      <c r="C607" t="s">
        <v>152</v>
      </c>
      <c r="D607" t="s">
        <v>141</v>
      </c>
      <c r="E607" t="s">
        <v>121</v>
      </c>
      <c r="F607" s="2">
        <v>180</v>
      </c>
    </row>
    <row r="608" spans="1:6">
      <c r="A608" s="1">
        <v>43529</v>
      </c>
      <c r="B608" t="s">
        <v>754</v>
      </c>
      <c r="C608" t="s">
        <v>145</v>
      </c>
      <c r="D608" t="s">
        <v>146</v>
      </c>
      <c r="E608" t="s">
        <v>127</v>
      </c>
      <c r="F608" s="2">
        <v>50</v>
      </c>
    </row>
    <row r="609" spans="1:6">
      <c r="A609" s="1">
        <v>43529</v>
      </c>
      <c r="B609" t="s">
        <v>755</v>
      </c>
      <c r="C609" t="s">
        <v>136</v>
      </c>
      <c r="D609" t="s">
        <v>139</v>
      </c>
      <c r="E609" t="s">
        <v>127</v>
      </c>
      <c r="F609" s="2">
        <v>80</v>
      </c>
    </row>
    <row r="610" spans="1:6">
      <c r="A610" s="1">
        <v>43529</v>
      </c>
      <c r="B610" t="s">
        <v>756</v>
      </c>
      <c r="C610" t="s">
        <v>145</v>
      </c>
      <c r="D610" t="s">
        <v>141</v>
      </c>
      <c r="E610" t="s">
        <v>121</v>
      </c>
      <c r="F610" s="2">
        <v>180</v>
      </c>
    </row>
    <row r="611" spans="1:6">
      <c r="A611" s="1">
        <v>43529</v>
      </c>
      <c r="B611" t="s">
        <v>757</v>
      </c>
      <c r="C611" t="s">
        <v>187</v>
      </c>
      <c r="D611" t="s">
        <v>126</v>
      </c>
      <c r="E611" t="s">
        <v>127</v>
      </c>
      <c r="F611" s="2">
        <v>160</v>
      </c>
    </row>
    <row r="612" spans="1:6">
      <c r="A612" s="1">
        <v>43529</v>
      </c>
      <c r="B612" t="s">
        <v>758</v>
      </c>
      <c r="C612" t="s">
        <v>223</v>
      </c>
      <c r="D612" t="s">
        <v>159</v>
      </c>
      <c r="E612" t="s">
        <v>131</v>
      </c>
      <c r="F612" s="2">
        <v>150</v>
      </c>
    </row>
    <row r="613" spans="1:6">
      <c r="A613" s="1">
        <v>43529</v>
      </c>
      <c r="B613" t="s">
        <v>759</v>
      </c>
      <c r="C613" t="s">
        <v>148</v>
      </c>
      <c r="D613" t="s">
        <v>141</v>
      </c>
      <c r="E613" t="s">
        <v>127</v>
      </c>
      <c r="F613" s="2">
        <v>180</v>
      </c>
    </row>
    <row r="614" spans="1:6">
      <c r="A614" s="1">
        <v>43530</v>
      </c>
      <c r="B614" t="s">
        <v>760</v>
      </c>
      <c r="C614" t="s">
        <v>167</v>
      </c>
      <c r="D614" t="s">
        <v>126</v>
      </c>
      <c r="E614" t="s">
        <v>131</v>
      </c>
      <c r="F614" s="2">
        <v>160</v>
      </c>
    </row>
    <row r="615" spans="1:6">
      <c r="A615" s="1">
        <v>43530</v>
      </c>
      <c r="B615" t="s">
        <v>761</v>
      </c>
      <c r="C615" t="s">
        <v>189</v>
      </c>
      <c r="D615" t="s">
        <v>146</v>
      </c>
      <c r="E615" t="s">
        <v>131</v>
      </c>
      <c r="F615" s="2">
        <v>50</v>
      </c>
    </row>
    <row r="616" spans="1:6">
      <c r="A616" s="1">
        <v>43530</v>
      </c>
      <c r="B616" t="s">
        <v>762</v>
      </c>
      <c r="C616" t="s">
        <v>119</v>
      </c>
      <c r="D616" t="s">
        <v>133</v>
      </c>
      <c r="E616" t="s">
        <v>131</v>
      </c>
      <c r="F616" s="2">
        <v>30</v>
      </c>
    </row>
    <row r="617" spans="1:6">
      <c r="A617" s="1">
        <v>43530</v>
      </c>
      <c r="B617" t="s">
        <v>763</v>
      </c>
      <c r="C617" t="s">
        <v>187</v>
      </c>
      <c r="D617" t="s">
        <v>139</v>
      </c>
      <c r="E617" t="s">
        <v>134</v>
      </c>
      <c r="F617" s="2">
        <v>80</v>
      </c>
    </row>
    <row r="618" spans="1:6">
      <c r="A618" s="1">
        <v>43530</v>
      </c>
      <c r="B618" t="s">
        <v>764</v>
      </c>
      <c r="C618" t="s">
        <v>152</v>
      </c>
      <c r="D618" t="s">
        <v>159</v>
      </c>
      <c r="E618" t="s">
        <v>131</v>
      </c>
      <c r="F618" s="2">
        <v>150</v>
      </c>
    </row>
    <row r="619" spans="1:6">
      <c r="A619" s="1">
        <v>43531</v>
      </c>
      <c r="B619" t="s">
        <v>765</v>
      </c>
      <c r="C619" t="s">
        <v>129</v>
      </c>
      <c r="D619" t="s">
        <v>126</v>
      </c>
      <c r="E619" t="s">
        <v>134</v>
      </c>
      <c r="F619" s="2">
        <v>160</v>
      </c>
    </row>
    <row r="620" spans="1:6">
      <c r="A620" s="1">
        <v>43531</v>
      </c>
      <c r="B620" t="s">
        <v>766</v>
      </c>
      <c r="C620" t="s">
        <v>182</v>
      </c>
      <c r="D620" t="s">
        <v>139</v>
      </c>
      <c r="E620" t="s">
        <v>134</v>
      </c>
      <c r="F620" s="2">
        <v>80</v>
      </c>
    </row>
    <row r="621" spans="1:6">
      <c r="A621" s="1">
        <v>43531</v>
      </c>
      <c r="B621" t="s">
        <v>767</v>
      </c>
      <c r="C621" t="s">
        <v>164</v>
      </c>
      <c r="D621" t="s">
        <v>133</v>
      </c>
      <c r="E621" t="s">
        <v>121</v>
      </c>
      <c r="F621" s="2">
        <v>30</v>
      </c>
    </row>
    <row r="622" spans="1:6">
      <c r="A622" s="1">
        <v>43531</v>
      </c>
      <c r="B622" t="s">
        <v>768</v>
      </c>
      <c r="C622" t="s">
        <v>125</v>
      </c>
      <c r="D622" t="s">
        <v>159</v>
      </c>
      <c r="E622" t="s">
        <v>134</v>
      </c>
      <c r="F622" s="2">
        <v>150</v>
      </c>
    </row>
    <row r="623" spans="1:6">
      <c r="A623" s="1">
        <v>43531</v>
      </c>
      <c r="B623" t="s">
        <v>769</v>
      </c>
      <c r="C623" t="s">
        <v>148</v>
      </c>
      <c r="D623" t="s">
        <v>130</v>
      </c>
      <c r="E623" t="s">
        <v>121</v>
      </c>
      <c r="F623" s="2">
        <v>100</v>
      </c>
    </row>
    <row r="624" spans="1:6">
      <c r="A624" s="1">
        <v>43531</v>
      </c>
      <c r="B624" t="s">
        <v>770</v>
      </c>
      <c r="C624" t="s">
        <v>167</v>
      </c>
      <c r="D624" t="s">
        <v>126</v>
      </c>
      <c r="E624" t="s">
        <v>121</v>
      </c>
      <c r="F624" s="2">
        <v>160</v>
      </c>
    </row>
    <row r="625" spans="1:6">
      <c r="A625" s="1">
        <v>43531</v>
      </c>
      <c r="B625" t="s">
        <v>771</v>
      </c>
      <c r="C625" t="s">
        <v>143</v>
      </c>
      <c r="D625" t="s">
        <v>126</v>
      </c>
      <c r="E625" t="s">
        <v>131</v>
      </c>
      <c r="F625" s="2">
        <v>160</v>
      </c>
    </row>
    <row r="626" spans="1:6">
      <c r="A626" s="1">
        <v>43531</v>
      </c>
      <c r="B626" t="s">
        <v>772</v>
      </c>
      <c r="C626" t="s">
        <v>143</v>
      </c>
      <c r="D626" t="s">
        <v>120</v>
      </c>
      <c r="E626" t="s">
        <v>153</v>
      </c>
      <c r="F626" s="2">
        <v>90</v>
      </c>
    </row>
    <row r="627" spans="1:6">
      <c r="A627" s="1">
        <v>43531</v>
      </c>
      <c r="B627" t="s">
        <v>773</v>
      </c>
      <c r="C627" t="s">
        <v>164</v>
      </c>
      <c r="D627" t="s">
        <v>133</v>
      </c>
      <c r="E627" t="s">
        <v>131</v>
      </c>
      <c r="F627" s="2">
        <v>30</v>
      </c>
    </row>
    <row r="628" spans="1:6">
      <c r="A628" s="1">
        <v>43531</v>
      </c>
      <c r="B628" t="s">
        <v>774</v>
      </c>
      <c r="C628" t="s">
        <v>223</v>
      </c>
      <c r="D628" t="s">
        <v>133</v>
      </c>
      <c r="E628" t="s">
        <v>121</v>
      </c>
      <c r="F628" s="2">
        <v>30</v>
      </c>
    </row>
    <row r="629" spans="1:6">
      <c r="A629" s="1">
        <v>43531</v>
      </c>
      <c r="B629" t="s">
        <v>775</v>
      </c>
      <c r="C629" t="s">
        <v>136</v>
      </c>
      <c r="D629" t="s">
        <v>120</v>
      </c>
      <c r="E629" t="s">
        <v>134</v>
      </c>
      <c r="F629" s="2">
        <v>90</v>
      </c>
    </row>
    <row r="630" spans="1:6">
      <c r="A630" s="1">
        <v>43531</v>
      </c>
      <c r="B630" t="s">
        <v>776</v>
      </c>
      <c r="C630" t="s">
        <v>157</v>
      </c>
      <c r="D630" t="s">
        <v>130</v>
      </c>
      <c r="E630" t="s">
        <v>127</v>
      </c>
      <c r="F630" s="2">
        <v>100</v>
      </c>
    </row>
    <row r="631" spans="1:6">
      <c r="A631" s="1">
        <v>43532</v>
      </c>
      <c r="B631" t="s">
        <v>777</v>
      </c>
      <c r="C631" t="s">
        <v>164</v>
      </c>
      <c r="D631" t="s">
        <v>126</v>
      </c>
      <c r="E631" t="s">
        <v>131</v>
      </c>
      <c r="F631" s="2">
        <v>160</v>
      </c>
    </row>
    <row r="632" spans="1:6">
      <c r="A632" s="1">
        <v>43532</v>
      </c>
      <c r="B632" t="s">
        <v>778</v>
      </c>
      <c r="C632" t="s">
        <v>189</v>
      </c>
      <c r="D632" t="s">
        <v>139</v>
      </c>
      <c r="E632" t="s">
        <v>121</v>
      </c>
      <c r="F632" s="2">
        <v>80</v>
      </c>
    </row>
    <row r="633" spans="1:6">
      <c r="A633" s="1">
        <v>43532</v>
      </c>
      <c r="B633" t="s">
        <v>779</v>
      </c>
      <c r="C633" t="s">
        <v>129</v>
      </c>
      <c r="D633" t="s">
        <v>139</v>
      </c>
      <c r="E633" t="s">
        <v>121</v>
      </c>
      <c r="F633" s="2">
        <v>80</v>
      </c>
    </row>
    <row r="634" spans="1:6">
      <c r="A634" s="1">
        <v>43532</v>
      </c>
      <c r="B634" t="s">
        <v>780</v>
      </c>
      <c r="C634" t="s">
        <v>119</v>
      </c>
      <c r="D634" t="s">
        <v>130</v>
      </c>
      <c r="E634" t="s">
        <v>134</v>
      </c>
      <c r="F634" s="2">
        <v>100</v>
      </c>
    </row>
    <row r="635" spans="1:6">
      <c r="A635" s="1">
        <v>43532</v>
      </c>
      <c r="B635" t="s">
        <v>781</v>
      </c>
      <c r="C635" t="s">
        <v>119</v>
      </c>
      <c r="D635" t="s">
        <v>126</v>
      </c>
      <c r="E635" t="s">
        <v>131</v>
      </c>
      <c r="F635" s="2">
        <v>160</v>
      </c>
    </row>
    <row r="636" spans="1:6">
      <c r="A636" s="1">
        <v>43532</v>
      </c>
      <c r="B636" t="s">
        <v>782</v>
      </c>
      <c r="C636" t="s">
        <v>164</v>
      </c>
      <c r="D636" t="s">
        <v>141</v>
      </c>
      <c r="E636" t="s">
        <v>121</v>
      </c>
      <c r="F636" s="2">
        <v>180</v>
      </c>
    </row>
    <row r="637" spans="1:6">
      <c r="A637" s="1">
        <v>43532</v>
      </c>
      <c r="B637" t="s">
        <v>783</v>
      </c>
      <c r="C637" t="s">
        <v>143</v>
      </c>
      <c r="D637" t="s">
        <v>141</v>
      </c>
      <c r="E637" t="s">
        <v>153</v>
      </c>
      <c r="F637" s="2">
        <v>180</v>
      </c>
    </row>
    <row r="638" spans="1:6">
      <c r="A638" s="1">
        <v>43532</v>
      </c>
      <c r="B638" t="s">
        <v>784</v>
      </c>
      <c r="C638" t="s">
        <v>164</v>
      </c>
      <c r="D638" t="s">
        <v>126</v>
      </c>
      <c r="E638" t="s">
        <v>127</v>
      </c>
      <c r="F638" s="2">
        <v>160</v>
      </c>
    </row>
    <row r="639" spans="1:6">
      <c r="A639" s="1">
        <v>43532</v>
      </c>
      <c r="B639" t="s">
        <v>785</v>
      </c>
      <c r="C639" t="s">
        <v>189</v>
      </c>
      <c r="D639" t="s">
        <v>120</v>
      </c>
      <c r="E639" t="s">
        <v>121</v>
      </c>
      <c r="F639" s="2">
        <v>90</v>
      </c>
    </row>
    <row r="640" spans="1:6">
      <c r="A640" s="1">
        <v>43532</v>
      </c>
      <c r="B640" t="s">
        <v>786</v>
      </c>
      <c r="C640" t="s">
        <v>143</v>
      </c>
      <c r="D640" t="s">
        <v>159</v>
      </c>
      <c r="E640" t="s">
        <v>134</v>
      </c>
      <c r="F640" s="2">
        <v>150</v>
      </c>
    </row>
    <row r="641" spans="1:6">
      <c r="A641" s="1">
        <v>43533</v>
      </c>
      <c r="B641" t="s">
        <v>787</v>
      </c>
      <c r="C641" t="s">
        <v>189</v>
      </c>
      <c r="D641" t="s">
        <v>126</v>
      </c>
      <c r="E641" t="s">
        <v>131</v>
      </c>
      <c r="F641" s="2">
        <v>160</v>
      </c>
    </row>
    <row r="642" spans="1:6">
      <c r="A642" s="1">
        <v>43533</v>
      </c>
      <c r="B642" t="s">
        <v>788</v>
      </c>
      <c r="C642" t="s">
        <v>148</v>
      </c>
      <c r="D642" t="s">
        <v>139</v>
      </c>
      <c r="E642" t="s">
        <v>153</v>
      </c>
      <c r="F642" s="2">
        <v>80</v>
      </c>
    </row>
    <row r="643" spans="1:6">
      <c r="A643" s="1">
        <v>43533</v>
      </c>
      <c r="B643" t="s">
        <v>789</v>
      </c>
      <c r="C643" t="s">
        <v>157</v>
      </c>
      <c r="D643" t="s">
        <v>120</v>
      </c>
      <c r="E643" t="s">
        <v>131</v>
      </c>
      <c r="F643" s="2">
        <v>90</v>
      </c>
    </row>
    <row r="644" spans="1:6">
      <c r="A644" s="1">
        <v>43533</v>
      </c>
      <c r="B644" t="s">
        <v>790</v>
      </c>
      <c r="C644" t="s">
        <v>138</v>
      </c>
      <c r="D644" t="s">
        <v>159</v>
      </c>
      <c r="E644" t="s">
        <v>127</v>
      </c>
      <c r="F644" s="2">
        <v>150</v>
      </c>
    </row>
    <row r="645" spans="1:6">
      <c r="A645" s="1">
        <v>43533</v>
      </c>
      <c r="B645" t="s">
        <v>791</v>
      </c>
      <c r="C645" t="s">
        <v>187</v>
      </c>
      <c r="D645" t="s">
        <v>133</v>
      </c>
      <c r="E645" t="s">
        <v>131</v>
      </c>
      <c r="F645" s="2">
        <v>30</v>
      </c>
    </row>
    <row r="646" spans="1:6">
      <c r="A646" s="1">
        <v>43533</v>
      </c>
      <c r="B646" t="s">
        <v>792</v>
      </c>
      <c r="C646" t="s">
        <v>143</v>
      </c>
      <c r="D646" t="s">
        <v>139</v>
      </c>
      <c r="E646" t="s">
        <v>127</v>
      </c>
      <c r="F646" s="2">
        <v>80</v>
      </c>
    </row>
    <row r="647" spans="1:6">
      <c r="A647" s="1">
        <v>43533</v>
      </c>
      <c r="B647" t="s">
        <v>793</v>
      </c>
      <c r="C647" t="s">
        <v>125</v>
      </c>
      <c r="D647" t="s">
        <v>146</v>
      </c>
      <c r="E647" t="s">
        <v>134</v>
      </c>
      <c r="F647" s="2">
        <v>50</v>
      </c>
    </row>
    <row r="648" spans="1:6">
      <c r="A648" s="1">
        <v>43533</v>
      </c>
      <c r="B648" t="s">
        <v>794</v>
      </c>
      <c r="C648" t="s">
        <v>123</v>
      </c>
      <c r="D648" t="s">
        <v>130</v>
      </c>
      <c r="E648" t="s">
        <v>127</v>
      </c>
      <c r="F648" s="2">
        <v>100</v>
      </c>
    </row>
    <row r="649" spans="1:6">
      <c r="A649" s="1">
        <v>43534</v>
      </c>
      <c r="B649" t="s">
        <v>795</v>
      </c>
      <c r="C649" t="s">
        <v>187</v>
      </c>
      <c r="D649" t="s">
        <v>139</v>
      </c>
      <c r="E649" t="s">
        <v>153</v>
      </c>
      <c r="F649" s="2">
        <v>80</v>
      </c>
    </row>
    <row r="650" spans="1:6">
      <c r="A650" s="1">
        <v>43534</v>
      </c>
      <c r="B650" t="s">
        <v>796</v>
      </c>
      <c r="C650" t="s">
        <v>182</v>
      </c>
      <c r="D650" t="s">
        <v>126</v>
      </c>
      <c r="E650" t="s">
        <v>131</v>
      </c>
      <c r="F650" s="2">
        <v>160</v>
      </c>
    </row>
    <row r="651" spans="1:6">
      <c r="A651" s="1">
        <v>43534</v>
      </c>
      <c r="B651" t="s">
        <v>797</v>
      </c>
      <c r="C651" t="s">
        <v>123</v>
      </c>
      <c r="D651" t="s">
        <v>141</v>
      </c>
      <c r="E651" t="s">
        <v>121</v>
      </c>
      <c r="F651" s="2">
        <v>180</v>
      </c>
    </row>
    <row r="652" spans="1:6">
      <c r="A652" s="1">
        <v>43534</v>
      </c>
      <c r="B652" t="s">
        <v>798</v>
      </c>
      <c r="C652" t="s">
        <v>223</v>
      </c>
      <c r="D652" t="s">
        <v>126</v>
      </c>
      <c r="E652" t="s">
        <v>134</v>
      </c>
      <c r="F652" s="2">
        <v>160</v>
      </c>
    </row>
    <row r="653" spans="1:6">
      <c r="A653" s="1">
        <v>43534</v>
      </c>
      <c r="B653" t="s">
        <v>799</v>
      </c>
      <c r="C653" t="s">
        <v>152</v>
      </c>
      <c r="D653" t="s">
        <v>126</v>
      </c>
      <c r="E653" t="s">
        <v>134</v>
      </c>
      <c r="F653" s="2">
        <v>160</v>
      </c>
    </row>
    <row r="654" spans="1:6">
      <c r="A654" s="1">
        <v>43534</v>
      </c>
      <c r="B654" t="s">
        <v>800</v>
      </c>
      <c r="C654" t="s">
        <v>119</v>
      </c>
      <c r="D654" t="s">
        <v>133</v>
      </c>
      <c r="E654" t="s">
        <v>131</v>
      </c>
      <c r="F654" s="2">
        <v>30</v>
      </c>
    </row>
    <row r="655" spans="1:6">
      <c r="A655" s="1">
        <v>43534</v>
      </c>
      <c r="B655" t="s">
        <v>801</v>
      </c>
      <c r="C655" t="s">
        <v>152</v>
      </c>
      <c r="D655" t="s">
        <v>159</v>
      </c>
      <c r="E655" t="s">
        <v>134</v>
      </c>
      <c r="F655" s="2">
        <v>150</v>
      </c>
    </row>
    <row r="656" spans="1:6">
      <c r="A656" s="1">
        <v>43534</v>
      </c>
      <c r="B656" t="s">
        <v>802</v>
      </c>
      <c r="C656" t="s">
        <v>189</v>
      </c>
      <c r="D656" t="s">
        <v>159</v>
      </c>
      <c r="E656" t="s">
        <v>153</v>
      </c>
      <c r="F656" s="2">
        <v>150</v>
      </c>
    </row>
    <row r="657" spans="1:6">
      <c r="A657" s="1">
        <v>43535</v>
      </c>
      <c r="B657" t="s">
        <v>803</v>
      </c>
      <c r="C657" t="s">
        <v>138</v>
      </c>
      <c r="D657" t="s">
        <v>133</v>
      </c>
      <c r="E657" t="s">
        <v>121</v>
      </c>
      <c r="F657" s="2">
        <v>30</v>
      </c>
    </row>
    <row r="658" spans="1:6">
      <c r="A658" s="1">
        <v>43535</v>
      </c>
      <c r="B658" t="s">
        <v>804</v>
      </c>
      <c r="C658" t="s">
        <v>138</v>
      </c>
      <c r="D658" t="s">
        <v>159</v>
      </c>
      <c r="E658" t="s">
        <v>131</v>
      </c>
      <c r="F658" s="2">
        <v>150</v>
      </c>
    </row>
    <row r="659" spans="1:6">
      <c r="A659" s="1">
        <v>43535</v>
      </c>
      <c r="B659" t="s">
        <v>805</v>
      </c>
      <c r="C659" t="s">
        <v>148</v>
      </c>
      <c r="D659" t="s">
        <v>146</v>
      </c>
      <c r="E659" t="s">
        <v>127</v>
      </c>
      <c r="F659" s="2">
        <v>50</v>
      </c>
    </row>
    <row r="660" spans="1:6">
      <c r="A660" s="1">
        <v>43535</v>
      </c>
      <c r="B660" t="s">
        <v>806</v>
      </c>
      <c r="C660" t="s">
        <v>123</v>
      </c>
      <c r="D660" t="s">
        <v>133</v>
      </c>
      <c r="E660" t="s">
        <v>153</v>
      </c>
      <c r="F660" s="2">
        <v>30</v>
      </c>
    </row>
    <row r="661" spans="1:6">
      <c r="A661" s="1">
        <v>43535</v>
      </c>
      <c r="B661" t="s">
        <v>807</v>
      </c>
      <c r="C661" t="s">
        <v>143</v>
      </c>
      <c r="D661" t="s">
        <v>120</v>
      </c>
      <c r="E661" t="s">
        <v>121</v>
      </c>
      <c r="F661" s="2">
        <v>90</v>
      </c>
    </row>
    <row r="662" spans="1:6">
      <c r="A662" s="1">
        <v>43535</v>
      </c>
      <c r="B662" t="s">
        <v>808</v>
      </c>
      <c r="C662" t="s">
        <v>152</v>
      </c>
      <c r="D662" t="s">
        <v>120</v>
      </c>
      <c r="E662" t="s">
        <v>153</v>
      </c>
      <c r="F662" s="2">
        <v>90</v>
      </c>
    </row>
    <row r="663" spans="1:6">
      <c r="A663" s="1">
        <v>43535</v>
      </c>
      <c r="B663" t="s">
        <v>809</v>
      </c>
      <c r="C663" t="s">
        <v>143</v>
      </c>
      <c r="D663" t="s">
        <v>133</v>
      </c>
      <c r="E663" t="s">
        <v>134</v>
      </c>
      <c r="F663" s="2">
        <v>30</v>
      </c>
    </row>
    <row r="664" spans="1:6">
      <c r="A664" s="1">
        <v>43535</v>
      </c>
      <c r="B664" t="s">
        <v>810</v>
      </c>
      <c r="C664" t="s">
        <v>138</v>
      </c>
      <c r="D664" t="s">
        <v>126</v>
      </c>
      <c r="E664" t="s">
        <v>131</v>
      </c>
      <c r="F664" s="2">
        <v>160</v>
      </c>
    </row>
    <row r="665" spans="1:6">
      <c r="A665" s="1">
        <v>43536</v>
      </c>
      <c r="B665" t="s">
        <v>811</v>
      </c>
      <c r="C665" t="s">
        <v>189</v>
      </c>
      <c r="D665" t="s">
        <v>159</v>
      </c>
      <c r="E665" t="s">
        <v>134</v>
      </c>
      <c r="F665" s="2">
        <v>150</v>
      </c>
    </row>
    <row r="666" spans="1:6">
      <c r="A666" s="1">
        <v>43536</v>
      </c>
      <c r="B666" t="s">
        <v>812</v>
      </c>
      <c r="C666" t="s">
        <v>223</v>
      </c>
      <c r="D666" t="s">
        <v>141</v>
      </c>
      <c r="E666" t="s">
        <v>131</v>
      </c>
      <c r="F666" s="2">
        <v>180</v>
      </c>
    </row>
    <row r="667" spans="1:6">
      <c r="A667" s="1">
        <v>43536</v>
      </c>
      <c r="B667" t="s">
        <v>813</v>
      </c>
      <c r="C667" t="s">
        <v>138</v>
      </c>
      <c r="D667" t="s">
        <v>146</v>
      </c>
      <c r="E667" t="s">
        <v>131</v>
      </c>
      <c r="F667" s="2">
        <v>50</v>
      </c>
    </row>
    <row r="668" spans="1:6">
      <c r="A668" s="1">
        <v>43536</v>
      </c>
      <c r="B668" t="s">
        <v>814</v>
      </c>
      <c r="C668" t="s">
        <v>148</v>
      </c>
      <c r="D668" t="s">
        <v>141</v>
      </c>
      <c r="E668" t="s">
        <v>121</v>
      </c>
      <c r="F668" s="2">
        <v>180</v>
      </c>
    </row>
    <row r="669" spans="1:6">
      <c r="A669" s="1">
        <v>43536</v>
      </c>
      <c r="B669" t="s">
        <v>815</v>
      </c>
      <c r="C669" t="s">
        <v>143</v>
      </c>
      <c r="D669" t="s">
        <v>130</v>
      </c>
      <c r="E669" t="s">
        <v>134</v>
      </c>
      <c r="F669" s="2">
        <v>100</v>
      </c>
    </row>
    <row r="670" spans="1:6">
      <c r="A670" s="1">
        <v>43536</v>
      </c>
      <c r="B670" t="s">
        <v>816</v>
      </c>
      <c r="C670" t="s">
        <v>143</v>
      </c>
      <c r="D670" t="s">
        <v>159</v>
      </c>
      <c r="E670" t="s">
        <v>153</v>
      </c>
      <c r="F670" s="2">
        <v>150</v>
      </c>
    </row>
    <row r="671" spans="1:6">
      <c r="A671" s="1">
        <v>43536</v>
      </c>
      <c r="B671" t="s">
        <v>817</v>
      </c>
      <c r="C671" t="s">
        <v>125</v>
      </c>
      <c r="D671" t="s">
        <v>146</v>
      </c>
      <c r="E671" t="s">
        <v>127</v>
      </c>
      <c r="F671" s="2">
        <v>50</v>
      </c>
    </row>
    <row r="672" spans="1:6">
      <c r="A672" s="1">
        <v>43536</v>
      </c>
      <c r="B672" t="s">
        <v>818</v>
      </c>
      <c r="C672" t="s">
        <v>148</v>
      </c>
      <c r="D672" t="s">
        <v>146</v>
      </c>
      <c r="E672" t="s">
        <v>131</v>
      </c>
      <c r="F672" s="2">
        <v>50</v>
      </c>
    </row>
    <row r="673" spans="1:6">
      <c r="A673" s="1">
        <v>43536</v>
      </c>
      <c r="B673" t="s">
        <v>819</v>
      </c>
      <c r="C673" t="s">
        <v>143</v>
      </c>
      <c r="D673" t="s">
        <v>133</v>
      </c>
      <c r="E673" t="s">
        <v>134</v>
      </c>
      <c r="F673" s="2">
        <v>30</v>
      </c>
    </row>
    <row r="674" spans="1:6">
      <c r="A674" s="1">
        <v>43536</v>
      </c>
      <c r="B674" t="s">
        <v>820</v>
      </c>
      <c r="C674" t="s">
        <v>164</v>
      </c>
      <c r="D674" t="s">
        <v>133</v>
      </c>
      <c r="E674" t="s">
        <v>127</v>
      </c>
      <c r="F674" s="2">
        <v>30</v>
      </c>
    </row>
    <row r="675" spans="1:6">
      <c r="A675" s="1">
        <v>43536</v>
      </c>
      <c r="B675" t="s">
        <v>821</v>
      </c>
      <c r="C675" t="s">
        <v>187</v>
      </c>
      <c r="D675" t="s">
        <v>159</v>
      </c>
      <c r="E675" t="s">
        <v>131</v>
      </c>
      <c r="F675" s="2">
        <v>150</v>
      </c>
    </row>
    <row r="676" spans="1:6">
      <c r="A676" s="1">
        <v>43536</v>
      </c>
      <c r="B676" t="s">
        <v>822</v>
      </c>
      <c r="C676" t="s">
        <v>164</v>
      </c>
      <c r="D676" t="s">
        <v>146</v>
      </c>
      <c r="E676" t="s">
        <v>121</v>
      </c>
      <c r="F676" s="2">
        <v>50</v>
      </c>
    </row>
    <row r="677" spans="1:6">
      <c r="A677" s="1">
        <v>43537</v>
      </c>
      <c r="B677" t="s">
        <v>823</v>
      </c>
      <c r="C677" t="s">
        <v>223</v>
      </c>
      <c r="D677" t="s">
        <v>146</v>
      </c>
      <c r="E677" t="s">
        <v>153</v>
      </c>
      <c r="F677" s="2">
        <v>50</v>
      </c>
    </row>
    <row r="678" spans="1:6">
      <c r="A678" s="1">
        <v>43537</v>
      </c>
      <c r="B678" t="s">
        <v>824</v>
      </c>
      <c r="C678" t="s">
        <v>125</v>
      </c>
      <c r="D678" t="s">
        <v>130</v>
      </c>
      <c r="E678" t="s">
        <v>153</v>
      </c>
      <c r="F678" s="2">
        <v>100</v>
      </c>
    </row>
    <row r="679" spans="1:6">
      <c r="A679" s="1">
        <v>43537</v>
      </c>
      <c r="B679" t="s">
        <v>825</v>
      </c>
      <c r="C679" t="s">
        <v>143</v>
      </c>
      <c r="D679" t="s">
        <v>126</v>
      </c>
      <c r="E679" t="s">
        <v>121</v>
      </c>
      <c r="F679" s="2">
        <v>160</v>
      </c>
    </row>
    <row r="680" spans="1:6">
      <c r="A680" s="1">
        <v>43537</v>
      </c>
      <c r="B680" t="s">
        <v>826</v>
      </c>
      <c r="C680" t="s">
        <v>182</v>
      </c>
      <c r="D680" t="s">
        <v>130</v>
      </c>
      <c r="E680" t="s">
        <v>131</v>
      </c>
      <c r="F680" s="2">
        <v>100</v>
      </c>
    </row>
    <row r="681" spans="1:6">
      <c r="A681" s="1">
        <v>43537</v>
      </c>
      <c r="B681" t="s">
        <v>827</v>
      </c>
      <c r="C681" t="s">
        <v>119</v>
      </c>
      <c r="D681" t="s">
        <v>133</v>
      </c>
      <c r="E681" t="s">
        <v>127</v>
      </c>
      <c r="F681" s="2">
        <v>30</v>
      </c>
    </row>
    <row r="682" spans="1:6">
      <c r="A682" s="1">
        <v>43537</v>
      </c>
      <c r="B682" t="s">
        <v>828</v>
      </c>
      <c r="C682" t="s">
        <v>152</v>
      </c>
      <c r="D682" t="s">
        <v>141</v>
      </c>
      <c r="E682" t="s">
        <v>131</v>
      </c>
      <c r="F682" s="2">
        <v>180</v>
      </c>
    </row>
    <row r="683" spans="1:6">
      <c r="A683" s="1">
        <v>43537</v>
      </c>
      <c r="B683" t="s">
        <v>829</v>
      </c>
      <c r="C683" t="s">
        <v>152</v>
      </c>
      <c r="D683" t="s">
        <v>146</v>
      </c>
      <c r="E683" t="s">
        <v>153</v>
      </c>
      <c r="F683" s="2">
        <v>50</v>
      </c>
    </row>
    <row r="684" spans="1:6">
      <c r="A684" s="1">
        <v>43537</v>
      </c>
      <c r="B684" t="s">
        <v>830</v>
      </c>
      <c r="C684" t="s">
        <v>138</v>
      </c>
      <c r="D684" t="s">
        <v>159</v>
      </c>
      <c r="E684" t="s">
        <v>127</v>
      </c>
      <c r="F684" s="2">
        <v>150</v>
      </c>
    </row>
    <row r="685" spans="1:6">
      <c r="A685" s="1">
        <v>43537</v>
      </c>
      <c r="B685" t="s">
        <v>831</v>
      </c>
      <c r="C685" t="s">
        <v>223</v>
      </c>
      <c r="D685" t="s">
        <v>159</v>
      </c>
      <c r="E685" t="s">
        <v>153</v>
      </c>
      <c r="F685" s="2">
        <v>150</v>
      </c>
    </row>
    <row r="686" spans="1:6">
      <c r="A686" s="1">
        <v>43537</v>
      </c>
      <c r="B686" t="s">
        <v>832</v>
      </c>
      <c r="C686" t="s">
        <v>187</v>
      </c>
      <c r="D686" t="s">
        <v>130</v>
      </c>
      <c r="E686" t="s">
        <v>131</v>
      </c>
      <c r="F686" s="2">
        <v>100</v>
      </c>
    </row>
    <row r="687" spans="1:6">
      <c r="A687" s="1">
        <v>43537</v>
      </c>
      <c r="B687" t="s">
        <v>833</v>
      </c>
      <c r="C687" t="s">
        <v>167</v>
      </c>
      <c r="D687" t="s">
        <v>130</v>
      </c>
      <c r="E687" t="s">
        <v>153</v>
      </c>
      <c r="F687" s="2">
        <v>100</v>
      </c>
    </row>
    <row r="688" spans="1:6">
      <c r="A688" s="1">
        <v>43537</v>
      </c>
      <c r="B688" t="s">
        <v>834</v>
      </c>
      <c r="C688" t="s">
        <v>148</v>
      </c>
      <c r="D688" t="s">
        <v>133</v>
      </c>
      <c r="E688" t="s">
        <v>127</v>
      </c>
      <c r="F688" s="2">
        <v>30</v>
      </c>
    </row>
    <row r="689" spans="1:6">
      <c r="A689" s="1">
        <v>43538</v>
      </c>
      <c r="B689" t="s">
        <v>835</v>
      </c>
      <c r="C689" t="s">
        <v>182</v>
      </c>
      <c r="D689" t="s">
        <v>141</v>
      </c>
      <c r="E689" t="s">
        <v>121</v>
      </c>
      <c r="F689" s="2">
        <v>180</v>
      </c>
    </row>
    <row r="690" spans="1:6">
      <c r="A690" s="1">
        <v>43538</v>
      </c>
      <c r="B690" t="s">
        <v>836</v>
      </c>
      <c r="C690" t="s">
        <v>138</v>
      </c>
      <c r="D690" t="s">
        <v>159</v>
      </c>
      <c r="E690" t="s">
        <v>134</v>
      </c>
      <c r="F690" s="2">
        <v>150</v>
      </c>
    </row>
    <row r="691" spans="1:6">
      <c r="A691" s="1">
        <v>43538</v>
      </c>
      <c r="B691" t="s">
        <v>837</v>
      </c>
      <c r="C691" t="s">
        <v>143</v>
      </c>
      <c r="D691" t="s">
        <v>120</v>
      </c>
      <c r="E691" t="s">
        <v>131</v>
      </c>
      <c r="F691" s="2">
        <v>90</v>
      </c>
    </row>
    <row r="692" spans="1:6">
      <c r="A692" s="1">
        <v>43538</v>
      </c>
      <c r="B692" t="s">
        <v>838</v>
      </c>
      <c r="C692" t="s">
        <v>164</v>
      </c>
      <c r="D692" t="s">
        <v>126</v>
      </c>
      <c r="E692" t="s">
        <v>153</v>
      </c>
      <c r="F692" s="2">
        <v>160</v>
      </c>
    </row>
    <row r="693" spans="1:6">
      <c r="A693" s="1">
        <v>43538</v>
      </c>
      <c r="B693" t="s">
        <v>839</v>
      </c>
      <c r="C693" t="s">
        <v>145</v>
      </c>
      <c r="D693" t="s">
        <v>120</v>
      </c>
      <c r="E693" t="s">
        <v>127</v>
      </c>
      <c r="F693" s="2">
        <v>90</v>
      </c>
    </row>
    <row r="694" spans="1:6">
      <c r="A694" s="1">
        <v>43539</v>
      </c>
      <c r="B694" t="s">
        <v>840</v>
      </c>
      <c r="C694" t="s">
        <v>148</v>
      </c>
      <c r="D694" t="s">
        <v>133</v>
      </c>
      <c r="E694" t="s">
        <v>131</v>
      </c>
      <c r="F694" s="2">
        <v>30</v>
      </c>
    </row>
    <row r="695" spans="1:6">
      <c r="A695" s="1">
        <v>43539</v>
      </c>
      <c r="B695" t="s">
        <v>841</v>
      </c>
      <c r="C695" t="s">
        <v>182</v>
      </c>
      <c r="D695" t="s">
        <v>159</v>
      </c>
      <c r="E695" t="s">
        <v>134</v>
      </c>
      <c r="F695" s="2">
        <v>150</v>
      </c>
    </row>
    <row r="696" spans="1:6">
      <c r="A696" s="1">
        <v>43539</v>
      </c>
      <c r="B696" t="s">
        <v>842</v>
      </c>
      <c r="C696" t="s">
        <v>129</v>
      </c>
      <c r="D696" t="s">
        <v>159</v>
      </c>
      <c r="E696" t="s">
        <v>121</v>
      </c>
      <c r="F696" s="2">
        <v>150</v>
      </c>
    </row>
    <row r="697" spans="1:6">
      <c r="A697" s="1">
        <v>43539</v>
      </c>
      <c r="B697" t="s">
        <v>843</v>
      </c>
      <c r="C697" t="s">
        <v>164</v>
      </c>
      <c r="D697" t="s">
        <v>126</v>
      </c>
      <c r="E697" t="s">
        <v>153</v>
      </c>
      <c r="F697" s="2">
        <v>160</v>
      </c>
    </row>
    <row r="698" spans="1:6">
      <c r="A698" s="1">
        <v>43539</v>
      </c>
      <c r="B698" t="s">
        <v>844</v>
      </c>
      <c r="C698" t="s">
        <v>187</v>
      </c>
      <c r="D698" t="s">
        <v>126</v>
      </c>
      <c r="E698" t="s">
        <v>127</v>
      </c>
      <c r="F698" s="2">
        <v>160</v>
      </c>
    </row>
    <row r="699" spans="1:6">
      <c r="A699" s="1">
        <v>43539</v>
      </c>
      <c r="B699" t="s">
        <v>845</v>
      </c>
      <c r="C699" t="s">
        <v>157</v>
      </c>
      <c r="D699" t="s">
        <v>141</v>
      </c>
      <c r="E699" t="s">
        <v>153</v>
      </c>
      <c r="F699" s="2">
        <v>180</v>
      </c>
    </row>
    <row r="700" spans="1:6">
      <c r="A700" s="1">
        <v>43539</v>
      </c>
      <c r="B700" t="s">
        <v>846</v>
      </c>
      <c r="C700" t="s">
        <v>148</v>
      </c>
      <c r="D700" t="s">
        <v>146</v>
      </c>
      <c r="E700" t="s">
        <v>127</v>
      </c>
      <c r="F700" s="2">
        <v>50</v>
      </c>
    </row>
    <row r="701" spans="1:6">
      <c r="A701" s="1">
        <v>43539</v>
      </c>
      <c r="B701" t="s">
        <v>847</v>
      </c>
      <c r="C701" t="s">
        <v>125</v>
      </c>
      <c r="D701" t="s">
        <v>120</v>
      </c>
      <c r="E701" t="s">
        <v>121</v>
      </c>
      <c r="F701" s="2">
        <v>90</v>
      </c>
    </row>
    <row r="702" spans="1:6">
      <c r="A702" s="1">
        <v>43539</v>
      </c>
      <c r="B702" t="s">
        <v>848</v>
      </c>
      <c r="C702" t="s">
        <v>157</v>
      </c>
      <c r="D702" t="s">
        <v>146</v>
      </c>
      <c r="E702" t="s">
        <v>131</v>
      </c>
      <c r="F702" s="2">
        <v>50</v>
      </c>
    </row>
    <row r="703" spans="1:6">
      <c r="A703" s="1">
        <v>43539</v>
      </c>
      <c r="B703" t="s">
        <v>849</v>
      </c>
      <c r="C703" t="s">
        <v>167</v>
      </c>
      <c r="D703" t="s">
        <v>141</v>
      </c>
      <c r="E703" t="s">
        <v>134</v>
      </c>
      <c r="F703" s="2">
        <v>180</v>
      </c>
    </row>
    <row r="704" spans="1:6">
      <c r="A704" s="1">
        <v>43539</v>
      </c>
      <c r="B704" t="s">
        <v>850</v>
      </c>
      <c r="C704" t="s">
        <v>145</v>
      </c>
      <c r="D704" t="s">
        <v>126</v>
      </c>
      <c r="E704" t="s">
        <v>134</v>
      </c>
      <c r="F704" s="2">
        <v>160</v>
      </c>
    </row>
    <row r="705" spans="1:6">
      <c r="A705" s="1">
        <v>43539</v>
      </c>
      <c r="B705" t="s">
        <v>851</v>
      </c>
      <c r="C705" t="s">
        <v>143</v>
      </c>
      <c r="D705" t="s">
        <v>159</v>
      </c>
      <c r="E705" t="s">
        <v>153</v>
      </c>
      <c r="F705" s="2">
        <v>150</v>
      </c>
    </row>
    <row r="706" spans="1:6">
      <c r="A706" s="1">
        <v>43539</v>
      </c>
      <c r="B706" t="s">
        <v>852</v>
      </c>
      <c r="C706" t="s">
        <v>125</v>
      </c>
      <c r="D706" t="s">
        <v>120</v>
      </c>
      <c r="E706" t="s">
        <v>127</v>
      </c>
      <c r="F706" s="2">
        <v>90</v>
      </c>
    </row>
    <row r="707" spans="1:6">
      <c r="A707" s="1">
        <v>43540</v>
      </c>
      <c r="B707" t="s">
        <v>853</v>
      </c>
      <c r="C707" t="s">
        <v>138</v>
      </c>
      <c r="D707" t="s">
        <v>130</v>
      </c>
      <c r="E707" t="s">
        <v>131</v>
      </c>
      <c r="F707" s="2">
        <v>100</v>
      </c>
    </row>
    <row r="708" spans="1:6">
      <c r="A708" s="1">
        <v>43540</v>
      </c>
      <c r="B708" t="s">
        <v>854</v>
      </c>
      <c r="C708" t="s">
        <v>187</v>
      </c>
      <c r="D708" t="s">
        <v>130</v>
      </c>
      <c r="E708" t="s">
        <v>121</v>
      </c>
      <c r="F708" s="2">
        <v>100</v>
      </c>
    </row>
    <row r="709" spans="1:6">
      <c r="A709" s="1">
        <v>43540</v>
      </c>
      <c r="B709" t="s">
        <v>855</v>
      </c>
      <c r="C709" t="s">
        <v>125</v>
      </c>
      <c r="D709" t="s">
        <v>130</v>
      </c>
      <c r="E709" t="s">
        <v>153</v>
      </c>
      <c r="F709" s="2">
        <v>100</v>
      </c>
    </row>
    <row r="710" spans="1:6">
      <c r="A710" s="1">
        <v>43540</v>
      </c>
      <c r="B710" t="s">
        <v>856</v>
      </c>
      <c r="C710" t="s">
        <v>223</v>
      </c>
      <c r="D710" t="s">
        <v>130</v>
      </c>
      <c r="E710" t="s">
        <v>127</v>
      </c>
      <c r="F710" s="2">
        <v>100</v>
      </c>
    </row>
    <row r="711" spans="1:6">
      <c r="A711" s="1">
        <v>43540</v>
      </c>
      <c r="B711" t="s">
        <v>857</v>
      </c>
      <c r="C711" t="s">
        <v>129</v>
      </c>
      <c r="D711" t="s">
        <v>139</v>
      </c>
      <c r="E711" t="s">
        <v>134</v>
      </c>
      <c r="F711" s="2">
        <v>80</v>
      </c>
    </row>
    <row r="712" spans="1:6">
      <c r="A712" s="1">
        <v>43540</v>
      </c>
      <c r="B712" t="s">
        <v>858</v>
      </c>
      <c r="C712" t="s">
        <v>125</v>
      </c>
      <c r="D712" t="s">
        <v>130</v>
      </c>
      <c r="E712" t="s">
        <v>131</v>
      </c>
      <c r="F712" s="2">
        <v>100</v>
      </c>
    </row>
    <row r="713" spans="1:6">
      <c r="A713" s="1">
        <v>43540</v>
      </c>
      <c r="B713" t="s">
        <v>859</v>
      </c>
      <c r="C713" t="s">
        <v>125</v>
      </c>
      <c r="D713" t="s">
        <v>159</v>
      </c>
      <c r="E713" t="s">
        <v>134</v>
      </c>
      <c r="F713" s="2">
        <v>150</v>
      </c>
    </row>
    <row r="714" spans="1:6">
      <c r="A714" s="1">
        <v>43540</v>
      </c>
      <c r="B714" t="s">
        <v>860</v>
      </c>
      <c r="C714" t="s">
        <v>145</v>
      </c>
      <c r="D714" t="s">
        <v>120</v>
      </c>
      <c r="E714" t="s">
        <v>153</v>
      </c>
      <c r="F714" s="2">
        <v>90</v>
      </c>
    </row>
    <row r="715" spans="1:6">
      <c r="A715" s="1">
        <v>43540</v>
      </c>
      <c r="B715" t="s">
        <v>861</v>
      </c>
      <c r="C715" t="s">
        <v>129</v>
      </c>
      <c r="D715" t="s">
        <v>130</v>
      </c>
      <c r="E715" t="s">
        <v>134</v>
      </c>
      <c r="F715" s="2">
        <v>100</v>
      </c>
    </row>
    <row r="716" spans="1:6">
      <c r="A716" s="1">
        <v>43540</v>
      </c>
      <c r="B716" t="s">
        <v>862</v>
      </c>
      <c r="C716" t="s">
        <v>157</v>
      </c>
      <c r="D716" t="s">
        <v>139</v>
      </c>
      <c r="E716" t="s">
        <v>121</v>
      </c>
      <c r="F716" s="2">
        <v>80</v>
      </c>
    </row>
    <row r="717" spans="1:6">
      <c r="A717" s="1">
        <v>43540</v>
      </c>
      <c r="B717" t="s">
        <v>863</v>
      </c>
      <c r="C717" t="s">
        <v>129</v>
      </c>
      <c r="D717" t="s">
        <v>120</v>
      </c>
      <c r="E717" t="s">
        <v>153</v>
      </c>
      <c r="F717" s="2">
        <v>90</v>
      </c>
    </row>
    <row r="718" spans="1:6">
      <c r="A718" s="1">
        <v>43540</v>
      </c>
      <c r="B718" t="s">
        <v>864</v>
      </c>
      <c r="C718" t="s">
        <v>164</v>
      </c>
      <c r="D718" t="s">
        <v>146</v>
      </c>
      <c r="E718" t="s">
        <v>134</v>
      </c>
      <c r="F718" s="2">
        <v>50</v>
      </c>
    </row>
    <row r="719" spans="1:6">
      <c r="A719" s="1">
        <v>43540</v>
      </c>
      <c r="B719" t="s">
        <v>865</v>
      </c>
      <c r="C719" t="s">
        <v>167</v>
      </c>
      <c r="D719" t="s">
        <v>126</v>
      </c>
      <c r="E719" t="s">
        <v>153</v>
      </c>
      <c r="F719" s="2">
        <v>160</v>
      </c>
    </row>
    <row r="720" spans="1:6">
      <c r="A720" s="1">
        <v>43540</v>
      </c>
      <c r="B720" t="s">
        <v>866</v>
      </c>
      <c r="C720" t="s">
        <v>223</v>
      </c>
      <c r="D720" t="s">
        <v>120</v>
      </c>
      <c r="E720" t="s">
        <v>131</v>
      </c>
      <c r="F720" s="2">
        <v>90</v>
      </c>
    </row>
    <row r="721" spans="1:6">
      <c r="A721" s="1">
        <v>43540</v>
      </c>
      <c r="B721" t="s">
        <v>867</v>
      </c>
      <c r="C721" t="s">
        <v>148</v>
      </c>
      <c r="D721" t="s">
        <v>133</v>
      </c>
      <c r="E721" t="s">
        <v>121</v>
      </c>
      <c r="F721" s="2">
        <v>30</v>
      </c>
    </row>
    <row r="722" spans="1:6">
      <c r="A722" s="1">
        <v>43540</v>
      </c>
      <c r="B722" t="s">
        <v>868</v>
      </c>
      <c r="C722" t="s">
        <v>136</v>
      </c>
      <c r="D722" t="s">
        <v>146</v>
      </c>
      <c r="E722" t="s">
        <v>121</v>
      </c>
      <c r="F722" s="2">
        <v>50</v>
      </c>
    </row>
    <row r="723" spans="1:6">
      <c r="A723" s="1">
        <v>43540</v>
      </c>
      <c r="B723" t="s">
        <v>869</v>
      </c>
      <c r="C723" t="s">
        <v>145</v>
      </c>
      <c r="D723" t="s">
        <v>141</v>
      </c>
      <c r="E723" t="s">
        <v>127</v>
      </c>
      <c r="F723" s="2">
        <v>180</v>
      </c>
    </row>
    <row r="724" spans="1:6">
      <c r="A724" s="1">
        <v>43541</v>
      </c>
      <c r="B724" t="s">
        <v>870</v>
      </c>
      <c r="C724" t="s">
        <v>223</v>
      </c>
      <c r="D724" t="s">
        <v>126</v>
      </c>
      <c r="E724" t="s">
        <v>153</v>
      </c>
      <c r="F724" s="2">
        <v>160</v>
      </c>
    </row>
    <row r="725" spans="1:6">
      <c r="A725" s="1">
        <v>43541</v>
      </c>
      <c r="B725" t="s">
        <v>871</v>
      </c>
      <c r="C725" t="s">
        <v>119</v>
      </c>
      <c r="D725" t="s">
        <v>133</v>
      </c>
      <c r="E725" t="s">
        <v>121</v>
      </c>
      <c r="F725" s="2">
        <v>30</v>
      </c>
    </row>
    <row r="726" spans="1:6">
      <c r="A726" s="1">
        <v>43541</v>
      </c>
      <c r="B726" t="s">
        <v>872</v>
      </c>
      <c r="C726" t="s">
        <v>223</v>
      </c>
      <c r="D726" t="s">
        <v>120</v>
      </c>
      <c r="E726" t="s">
        <v>153</v>
      </c>
      <c r="F726" s="2">
        <v>90</v>
      </c>
    </row>
    <row r="727" spans="1:6">
      <c r="A727" s="1">
        <v>43541</v>
      </c>
      <c r="B727" t="s">
        <v>873</v>
      </c>
      <c r="C727" t="s">
        <v>152</v>
      </c>
      <c r="D727" t="s">
        <v>159</v>
      </c>
      <c r="E727" t="s">
        <v>121</v>
      </c>
      <c r="F727" s="2">
        <v>150</v>
      </c>
    </row>
    <row r="728" spans="1:6">
      <c r="A728" s="1">
        <v>43541</v>
      </c>
      <c r="B728" t="s">
        <v>874</v>
      </c>
      <c r="C728" t="s">
        <v>152</v>
      </c>
      <c r="D728" t="s">
        <v>139</v>
      </c>
      <c r="E728" t="s">
        <v>131</v>
      </c>
      <c r="F728" s="2">
        <v>80</v>
      </c>
    </row>
    <row r="729" spans="1:6">
      <c r="A729" s="1">
        <v>43541</v>
      </c>
      <c r="B729" t="s">
        <v>875</v>
      </c>
      <c r="C729" t="s">
        <v>187</v>
      </c>
      <c r="D729" t="s">
        <v>139</v>
      </c>
      <c r="E729" t="s">
        <v>134</v>
      </c>
      <c r="F729" s="2">
        <v>80</v>
      </c>
    </row>
    <row r="730" spans="1:6">
      <c r="A730" s="1">
        <v>43541</v>
      </c>
      <c r="B730" t="s">
        <v>876</v>
      </c>
      <c r="C730" t="s">
        <v>187</v>
      </c>
      <c r="D730" t="s">
        <v>130</v>
      </c>
      <c r="E730" t="s">
        <v>131</v>
      </c>
      <c r="F730" s="2">
        <v>100</v>
      </c>
    </row>
    <row r="731" spans="1:6">
      <c r="A731" s="1">
        <v>43541</v>
      </c>
      <c r="B731" t="s">
        <v>877</v>
      </c>
      <c r="C731" t="s">
        <v>223</v>
      </c>
      <c r="D731" t="s">
        <v>130</v>
      </c>
      <c r="E731" t="s">
        <v>134</v>
      </c>
      <c r="F731" s="2">
        <v>100</v>
      </c>
    </row>
    <row r="732" spans="1:6">
      <c r="A732" s="1">
        <v>43542</v>
      </c>
      <c r="B732" t="s">
        <v>878</v>
      </c>
      <c r="C732" t="s">
        <v>152</v>
      </c>
      <c r="D732" t="s">
        <v>130</v>
      </c>
      <c r="E732" t="s">
        <v>121</v>
      </c>
      <c r="F732" s="2">
        <v>100</v>
      </c>
    </row>
    <row r="733" spans="1:6">
      <c r="A733" s="1">
        <v>43542</v>
      </c>
      <c r="B733" t="s">
        <v>879</v>
      </c>
      <c r="C733" t="s">
        <v>148</v>
      </c>
      <c r="D733" t="s">
        <v>139</v>
      </c>
      <c r="E733" t="s">
        <v>127</v>
      </c>
      <c r="F733" s="2">
        <v>80</v>
      </c>
    </row>
    <row r="734" spans="1:6">
      <c r="A734" s="1">
        <v>43542</v>
      </c>
      <c r="B734" t="s">
        <v>880</v>
      </c>
      <c r="C734" t="s">
        <v>119</v>
      </c>
      <c r="D734" t="s">
        <v>120</v>
      </c>
      <c r="E734" t="s">
        <v>121</v>
      </c>
      <c r="F734" s="2">
        <v>90</v>
      </c>
    </row>
    <row r="735" spans="1:6">
      <c r="A735" s="1">
        <v>43542</v>
      </c>
      <c r="B735" t="s">
        <v>881</v>
      </c>
      <c r="C735" t="s">
        <v>167</v>
      </c>
      <c r="D735" t="s">
        <v>146</v>
      </c>
      <c r="E735" t="s">
        <v>134</v>
      </c>
      <c r="F735" s="2">
        <v>50</v>
      </c>
    </row>
    <row r="736" spans="1:6">
      <c r="A736" s="1">
        <v>43542</v>
      </c>
      <c r="B736" t="s">
        <v>882</v>
      </c>
      <c r="C736" t="s">
        <v>157</v>
      </c>
      <c r="D736" t="s">
        <v>139</v>
      </c>
      <c r="E736" t="s">
        <v>127</v>
      </c>
      <c r="F736" s="2">
        <v>80</v>
      </c>
    </row>
    <row r="737" spans="1:6">
      <c r="A737" s="1">
        <v>43542</v>
      </c>
      <c r="B737" t="s">
        <v>883</v>
      </c>
      <c r="C737" t="s">
        <v>167</v>
      </c>
      <c r="D737" t="s">
        <v>159</v>
      </c>
      <c r="E737" t="s">
        <v>121</v>
      </c>
      <c r="F737" s="2">
        <v>150</v>
      </c>
    </row>
    <row r="738" spans="1:6">
      <c r="A738" s="1">
        <v>43543</v>
      </c>
      <c r="B738" t="s">
        <v>884</v>
      </c>
      <c r="C738" t="s">
        <v>138</v>
      </c>
      <c r="D738" t="s">
        <v>120</v>
      </c>
      <c r="E738" t="s">
        <v>131</v>
      </c>
      <c r="F738" s="2">
        <v>90</v>
      </c>
    </row>
    <row r="739" spans="1:6">
      <c r="A739" s="1">
        <v>43543</v>
      </c>
      <c r="B739" t="s">
        <v>885</v>
      </c>
      <c r="C739" t="s">
        <v>189</v>
      </c>
      <c r="D739" t="s">
        <v>146</v>
      </c>
      <c r="E739" t="s">
        <v>127</v>
      </c>
      <c r="F739" s="2">
        <v>50</v>
      </c>
    </row>
    <row r="740" spans="1:6">
      <c r="A740" s="1">
        <v>43543</v>
      </c>
      <c r="B740" t="s">
        <v>886</v>
      </c>
      <c r="C740" t="s">
        <v>125</v>
      </c>
      <c r="D740" t="s">
        <v>126</v>
      </c>
      <c r="E740" t="s">
        <v>134</v>
      </c>
      <c r="F740" s="2">
        <v>160</v>
      </c>
    </row>
    <row r="741" spans="1:6">
      <c r="A741" s="1">
        <v>43543</v>
      </c>
      <c r="B741" t="s">
        <v>887</v>
      </c>
      <c r="C741" t="s">
        <v>164</v>
      </c>
      <c r="D741" t="s">
        <v>130</v>
      </c>
      <c r="E741" t="s">
        <v>153</v>
      </c>
      <c r="F741" s="2">
        <v>100</v>
      </c>
    </row>
    <row r="742" spans="1:6">
      <c r="A742" s="1">
        <v>43543</v>
      </c>
      <c r="B742" t="s">
        <v>888</v>
      </c>
      <c r="C742" t="s">
        <v>182</v>
      </c>
      <c r="D742" t="s">
        <v>141</v>
      </c>
      <c r="E742" t="s">
        <v>134</v>
      </c>
      <c r="F742" s="2">
        <v>180</v>
      </c>
    </row>
    <row r="743" spans="1:6">
      <c r="A743" s="1">
        <v>43543</v>
      </c>
      <c r="B743" t="s">
        <v>889</v>
      </c>
      <c r="C743" t="s">
        <v>157</v>
      </c>
      <c r="D743" t="s">
        <v>120</v>
      </c>
      <c r="E743" t="s">
        <v>127</v>
      </c>
      <c r="F743" s="2">
        <v>90</v>
      </c>
    </row>
    <row r="744" spans="1:6">
      <c r="A744" s="1">
        <v>43543</v>
      </c>
      <c r="B744" t="s">
        <v>890</v>
      </c>
      <c r="C744" t="s">
        <v>136</v>
      </c>
      <c r="D744" t="s">
        <v>120</v>
      </c>
      <c r="E744" t="s">
        <v>121</v>
      </c>
      <c r="F744" s="2">
        <v>90</v>
      </c>
    </row>
    <row r="745" spans="1:6">
      <c r="A745" s="1">
        <v>43544</v>
      </c>
      <c r="B745" t="s">
        <v>891</v>
      </c>
      <c r="C745" t="s">
        <v>123</v>
      </c>
      <c r="D745" t="s">
        <v>146</v>
      </c>
      <c r="E745" t="s">
        <v>131</v>
      </c>
      <c r="F745" s="2">
        <v>50</v>
      </c>
    </row>
    <row r="746" spans="1:6">
      <c r="A746" s="1">
        <v>43544</v>
      </c>
      <c r="B746" t="s">
        <v>892</v>
      </c>
      <c r="C746" t="s">
        <v>148</v>
      </c>
      <c r="D746" t="s">
        <v>141</v>
      </c>
      <c r="E746" t="s">
        <v>127</v>
      </c>
      <c r="F746" s="2">
        <v>180</v>
      </c>
    </row>
    <row r="747" spans="1:6">
      <c r="A747" s="1">
        <v>43544</v>
      </c>
      <c r="B747" t="s">
        <v>893</v>
      </c>
      <c r="C747" t="s">
        <v>189</v>
      </c>
      <c r="D747" t="s">
        <v>159</v>
      </c>
      <c r="E747" t="s">
        <v>134</v>
      </c>
      <c r="F747" s="2">
        <v>150</v>
      </c>
    </row>
    <row r="748" spans="1:6">
      <c r="A748" s="1">
        <v>43544</v>
      </c>
      <c r="B748" t="s">
        <v>894</v>
      </c>
      <c r="C748" t="s">
        <v>189</v>
      </c>
      <c r="D748" t="s">
        <v>130</v>
      </c>
      <c r="E748" t="s">
        <v>127</v>
      </c>
      <c r="F748" s="2">
        <v>100</v>
      </c>
    </row>
    <row r="749" spans="1:6">
      <c r="A749" s="1">
        <v>43545</v>
      </c>
      <c r="B749" t="s">
        <v>895</v>
      </c>
      <c r="C749" t="s">
        <v>136</v>
      </c>
      <c r="D749" t="s">
        <v>126</v>
      </c>
      <c r="E749" t="s">
        <v>134</v>
      </c>
      <c r="F749" s="2">
        <v>160</v>
      </c>
    </row>
    <row r="750" spans="1:6">
      <c r="A750" s="1">
        <v>43545</v>
      </c>
      <c r="B750" t="s">
        <v>896</v>
      </c>
      <c r="C750" t="s">
        <v>119</v>
      </c>
      <c r="D750" t="s">
        <v>133</v>
      </c>
      <c r="E750" t="s">
        <v>121</v>
      </c>
      <c r="F750" s="2">
        <v>30</v>
      </c>
    </row>
    <row r="751" spans="1:6">
      <c r="A751" s="1">
        <v>43545</v>
      </c>
      <c r="B751" t="s">
        <v>897</v>
      </c>
      <c r="C751" t="s">
        <v>164</v>
      </c>
      <c r="D751" t="s">
        <v>130</v>
      </c>
      <c r="E751" t="s">
        <v>131</v>
      </c>
      <c r="F751" s="2">
        <v>100</v>
      </c>
    </row>
    <row r="752" spans="1:6">
      <c r="A752" s="1">
        <v>43545</v>
      </c>
      <c r="B752" t="s">
        <v>898</v>
      </c>
      <c r="C752" t="s">
        <v>145</v>
      </c>
      <c r="D752" t="s">
        <v>146</v>
      </c>
      <c r="E752" t="s">
        <v>127</v>
      </c>
      <c r="F752" s="2">
        <v>50</v>
      </c>
    </row>
    <row r="753" spans="1:6">
      <c r="A753" s="1">
        <v>43545</v>
      </c>
      <c r="B753" t="s">
        <v>899</v>
      </c>
      <c r="C753" t="s">
        <v>123</v>
      </c>
      <c r="D753" t="s">
        <v>126</v>
      </c>
      <c r="E753" t="s">
        <v>153</v>
      </c>
      <c r="F753" s="2">
        <v>160</v>
      </c>
    </row>
    <row r="754" spans="1:6">
      <c r="A754" s="1">
        <v>43545</v>
      </c>
      <c r="B754" t="s">
        <v>900</v>
      </c>
      <c r="C754" t="s">
        <v>125</v>
      </c>
      <c r="D754" t="s">
        <v>133</v>
      </c>
      <c r="E754" t="s">
        <v>153</v>
      </c>
      <c r="F754" s="2">
        <v>30</v>
      </c>
    </row>
    <row r="755" spans="1:6">
      <c r="A755" s="1">
        <v>43545</v>
      </c>
      <c r="B755" t="s">
        <v>901</v>
      </c>
      <c r="C755" t="s">
        <v>136</v>
      </c>
      <c r="D755" t="s">
        <v>130</v>
      </c>
      <c r="E755" t="s">
        <v>121</v>
      </c>
      <c r="F755" s="2">
        <v>100</v>
      </c>
    </row>
    <row r="756" spans="1:6">
      <c r="A756" s="1">
        <v>43545</v>
      </c>
      <c r="B756" t="s">
        <v>902</v>
      </c>
      <c r="C756" t="s">
        <v>152</v>
      </c>
      <c r="D756" t="s">
        <v>146</v>
      </c>
      <c r="E756" t="s">
        <v>153</v>
      </c>
      <c r="F756" s="2">
        <v>50</v>
      </c>
    </row>
    <row r="757" spans="1:6">
      <c r="A757" s="1">
        <v>43545</v>
      </c>
      <c r="B757" t="s">
        <v>903</v>
      </c>
      <c r="C757" t="s">
        <v>125</v>
      </c>
      <c r="D757" t="s">
        <v>133</v>
      </c>
      <c r="E757" t="s">
        <v>121</v>
      </c>
      <c r="F757" s="2">
        <v>30</v>
      </c>
    </row>
    <row r="758" spans="1:6">
      <c r="A758" s="1">
        <v>43546</v>
      </c>
      <c r="B758" t="s">
        <v>904</v>
      </c>
      <c r="C758" t="s">
        <v>136</v>
      </c>
      <c r="D758" t="s">
        <v>141</v>
      </c>
      <c r="E758" t="s">
        <v>131</v>
      </c>
      <c r="F758" s="2">
        <v>180</v>
      </c>
    </row>
    <row r="759" spans="1:6">
      <c r="A759" s="1">
        <v>43546</v>
      </c>
      <c r="B759" t="s">
        <v>905</v>
      </c>
      <c r="C759" t="s">
        <v>125</v>
      </c>
      <c r="D759" t="s">
        <v>139</v>
      </c>
      <c r="E759" t="s">
        <v>131</v>
      </c>
      <c r="F759" s="2">
        <v>80</v>
      </c>
    </row>
    <row r="760" spans="1:6">
      <c r="A760" s="1">
        <v>43546</v>
      </c>
      <c r="B760" t="s">
        <v>906</v>
      </c>
      <c r="C760" t="s">
        <v>157</v>
      </c>
      <c r="D760" t="s">
        <v>130</v>
      </c>
      <c r="E760" t="s">
        <v>153</v>
      </c>
      <c r="F760" s="2">
        <v>100</v>
      </c>
    </row>
    <row r="761" spans="1:6">
      <c r="A761" s="1">
        <v>43546</v>
      </c>
      <c r="B761" t="s">
        <v>907</v>
      </c>
      <c r="C761" t="s">
        <v>167</v>
      </c>
      <c r="D761" t="s">
        <v>159</v>
      </c>
      <c r="E761" t="s">
        <v>127</v>
      </c>
      <c r="F761" s="2">
        <v>150</v>
      </c>
    </row>
    <row r="762" spans="1:6">
      <c r="A762" s="1">
        <v>43546</v>
      </c>
      <c r="B762" t="s">
        <v>908</v>
      </c>
      <c r="C762" t="s">
        <v>136</v>
      </c>
      <c r="D762" t="s">
        <v>130</v>
      </c>
      <c r="E762" t="s">
        <v>153</v>
      </c>
      <c r="F762" s="2">
        <v>100</v>
      </c>
    </row>
    <row r="763" spans="1:6">
      <c r="A763" s="1">
        <v>43546</v>
      </c>
      <c r="B763" t="s">
        <v>909</v>
      </c>
      <c r="C763" t="s">
        <v>223</v>
      </c>
      <c r="D763" t="s">
        <v>133</v>
      </c>
      <c r="E763" t="s">
        <v>153</v>
      </c>
      <c r="F763" s="2">
        <v>30</v>
      </c>
    </row>
    <row r="764" spans="1:6">
      <c r="A764" s="1">
        <v>43546</v>
      </c>
      <c r="B764" t="s">
        <v>910</v>
      </c>
      <c r="C764" t="s">
        <v>152</v>
      </c>
      <c r="D764" t="s">
        <v>146</v>
      </c>
      <c r="E764" t="s">
        <v>153</v>
      </c>
      <c r="F764" s="2">
        <v>50</v>
      </c>
    </row>
    <row r="765" spans="1:6">
      <c r="A765" s="1">
        <v>43546</v>
      </c>
      <c r="B765" t="s">
        <v>911</v>
      </c>
      <c r="C765" t="s">
        <v>123</v>
      </c>
      <c r="D765" t="s">
        <v>126</v>
      </c>
      <c r="E765" t="s">
        <v>134</v>
      </c>
      <c r="F765" s="2">
        <v>160</v>
      </c>
    </row>
    <row r="766" spans="1:6">
      <c r="A766" s="1">
        <v>43546</v>
      </c>
      <c r="B766" t="s">
        <v>912</v>
      </c>
      <c r="C766" t="s">
        <v>119</v>
      </c>
      <c r="D766" t="s">
        <v>141</v>
      </c>
      <c r="E766" t="s">
        <v>121</v>
      </c>
      <c r="F766" s="2">
        <v>180</v>
      </c>
    </row>
    <row r="767" spans="1:6">
      <c r="A767" s="1">
        <v>43546</v>
      </c>
      <c r="B767" t="s">
        <v>913</v>
      </c>
      <c r="C767" t="s">
        <v>143</v>
      </c>
      <c r="D767" t="s">
        <v>133</v>
      </c>
      <c r="E767" t="s">
        <v>121</v>
      </c>
      <c r="F767" s="2">
        <v>30</v>
      </c>
    </row>
    <row r="768" spans="1:6">
      <c r="A768" s="1">
        <v>43546</v>
      </c>
      <c r="B768" t="s">
        <v>914</v>
      </c>
      <c r="C768" t="s">
        <v>189</v>
      </c>
      <c r="D768" t="s">
        <v>139</v>
      </c>
      <c r="E768" t="s">
        <v>131</v>
      </c>
      <c r="F768" s="2">
        <v>80</v>
      </c>
    </row>
    <row r="769" spans="1:6">
      <c r="A769" s="1">
        <v>43547</v>
      </c>
      <c r="B769" t="s">
        <v>915</v>
      </c>
      <c r="C769" t="s">
        <v>148</v>
      </c>
      <c r="D769" t="s">
        <v>130</v>
      </c>
      <c r="E769" t="s">
        <v>153</v>
      </c>
      <c r="F769" s="2">
        <v>100</v>
      </c>
    </row>
    <row r="770" spans="1:6">
      <c r="A770" s="1">
        <v>43547</v>
      </c>
      <c r="B770" t="s">
        <v>916</v>
      </c>
      <c r="C770" t="s">
        <v>129</v>
      </c>
      <c r="D770" t="s">
        <v>141</v>
      </c>
      <c r="E770" t="s">
        <v>127</v>
      </c>
      <c r="F770" s="2">
        <v>180</v>
      </c>
    </row>
    <row r="771" spans="1:6">
      <c r="A771" s="1">
        <v>43547</v>
      </c>
      <c r="B771" t="s">
        <v>917</v>
      </c>
      <c r="C771" t="s">
        <v>125</v>
      </c>
      <c r="D771" t="s">
        <v>133</v>
      </c>
      <c r="E771" t="s">
        <v>127</v>
      </c>
      <c r="F771" s="2">
        <v>30</v>
      </c>
    </row>
    <row r="772" spans="1:6">
      <c r="A772" s="1">
        <v>43547</v>
      </c>
      <c r="B772" t="s">
        <v>918</v>
      </c>
      <c r="C772" t="s">
        <v>164</v>
      </c>
      <c r="D772" t="s">
        <v>126</v>
      </c>
      <c r="E772" t="s">
        <v>153</v>
      </c>
      <c r="F772" s="2">
        <v>160</v>
      </c>
    </row>
    <row r="773" spans="1:6">
      <c r="A773" s="1">
        <v>43547</v>
      </c>
      <c r="B773" t="s">
        <v>919</v>
      </c>
      <c r="C773" t="s">
        <v>125</v>
      </c>
      <c r="D773" t="s">
        <v>139</v>
      </c>
      <c r="E773" t="s">
        <v>127</v>
      </c>
      <c r="F773" s="2">
        <v>80</v>
      </c>
    </row>
    <row r="774" spans="1:6">
      <c r="A774" s="1">
        <v>43547</v>
      </c>
      <c r="B774" t="s">
        <v>920</v>
      </c>
      <c r="C774" t="s">
        <v>187</v>
      </c>
      <c r="D774" t="s">
        <v>159</v>
      </c>
      <c r="E774" t="s">
        <v>121</v>
      </c>
      <c r="F774" s="2">
        <v>150</v>
      </c>
    </row>
    <row r="775" spans="1:6">
      <c r="A775" s="1">
        <v>43547</v>
      </c>
      <c r="B775" t="s">
        <v>921</v>
      </c>
      <c r="C775" t="s">
        <v>152</v>
      </c>
      <c r="D775" t="s">
        <v>120</v>
      </c>
      <c r="E775" t="s">
        <v>134</v>
      </c>
      <c r="F775" s="2">
        <v>90</v>
      </c>
    </row>
    <row r="776" spans="1:6">
      <c r="A776" s="1">
        <v>43547</v>
      </c>
      <c r="B776" t="s">
        <v>922</v>
      </c>
      <c r="C776" t="s">
        <v>123</v>
      </c>
      <c r="D776" t="s">
        <v>141</v>
      </c>
      <c r="E776" t="s">
        <v>121</v>
      </c>
      <c r="F776" s="2">
        <v>180</v>
      </c>
    </row>
    <row r="777" spans="1:6">
      <c r="A777" s="1">
        <v>43547</v>
      </c>
      <c r="B777" t="s">
        <v>923</v>
      </c>
      <c r="C777" t="s">
        <v>167</v>
      </c>
      <c r="D777" t="s">
        <v>139</v>
      </c>
      <c r="E777" t="s">
        <v>131</v>
      </c>
      <c r="F777" s="2">
        <v>80</v>
      </c>
    </row>
    <row r="778" spans="1:6">
      <c r="A778" s="1">
        <v>43547</v>
      </c>
      <c r="B778" t="s">
        <v>924</v>
      </c>
      <c r="C778" t="s">
        <v>119</v>
      </c>
      <c r="D778" t="s">
        <v>159</v>
      </c>
      <c r="E778" t="s">
        <v>121</v>
      </c>
      <c r="F778" s="2">
        <v>150</v>
      </c>
    </row>
    <row r="779" spans="1:6">
      <c r="A779" s="1">
        <v>43547</v>
      </c>
      <c r="B779" t="s">
        <v>925</v>
      </c>
      <c r="C779" t="s">
        <v>189</v>
      </c>
      <c r="D779" t="s">
        <v>126</v>
      </c>
      <c r="E779" t="s">
        <v>134</v>
      </c>
      <c r="F779" s="2">
        <v>160</v>
      </c>
    </row>
    <row r="780" spans="1:6">
      <c r="A780" s="1">
        <v>43547</v>
      </c>
      <c r="B780" t="s">
        <v>926</v>
      </c>
      <c r="C780" t="s">
        <v>152</v>
      </c>
      <c r="D780" t="s">
        <v>133</v>
      </c>
      <c r="E780" t="s">
        <v>127</v>
      </c>
      <c r="F780" s="2">
        <v>30</v>
      </c>
    </row>
    <row r="781" spans="1:6">
      <c r="A781" s="1">
        <v>43547</v>
      </c>
      <c r="B781" t="s">
        <v>927</v>
      </c>
      <c r="C781" t="s">
        <v>119</v>
      </c>
      <c r="D781" t="s">
        <v>126</v>
      </c>
      <c r="E781" t="s">
        <v>153</v>
      </c>
      <c r="F781" s="2">
        <v>160</v>
      </c>
    </row>
    <row r="782" spans="1:6">
      <c r="A782" s="1">
        <v>43548</v>
      </c>
      <c r="B782" t="s">
        <v>928</v>
      </c>
      <c r="C782" t="s">
        <v>123</v>
      </c>
      <c r="D782" t="s">
        <v>146</v>
      </c>
      <c r="E782" t="s">
        <v>131</v>
      </c>
      <c r="F782" s="2">
        <v>50</v>
      </c>
    </row>
    <row r="783" spans="1:6">
      <c r="A783" s="1">
        <v>43548</v>
      </c>
      <c r="B783" t="s">
        <v>929</v>
      </c>
      <c r="C783" t="s">
        <v>157</v>
      </c>
      <c r="D783" t="s">
        <v>126</v>
      </c>
      <c r="E783" t="s">
        <v>127</v>
      </c>
      <c r="F783" s="2">
        <v>160</v>
      </c>
    </row>
    <row r="784" spans="1:6">
      <c r="A784" s="1">
        <v>43548</v>
      </c>
      <c r="B784" t="s">
        <v>930</v>
      </c>
      <c r="C784" t="s">
        <v>157</v>
      </c>
      <c r="D784" t="s">
        <v>146</v>
      </c>
      <c r="E784" t="s">
        <v>134</v>
      </c>
      <c r="F784" s="2">
        <v>50</v>
      </c>
    </row>
    <row r="785" spans="1:6">
      <c r="A785" s="1">
        <v>43548</v>
      </c>
      <c r="B785" t="s">
        <v>931</v>
      </c>
      <c r="C785" t="s">
        <v>223</v>
      </c>
      <c r="D785" t="s">
        <v>146</v>
      </c>
      <c r="E785" t="s">
        <v>153</v>
      </c>
      <c r="F785" s="2">
        <v>50</v>
      </c>
    </row>
    <row r="786" spans="1:6">
      <c r="A786" s="1">
        <v>43548</v>
      </c>
      <c r="B786" t="s">
        <v>932</v>
      </c>
      <c r="C786" t="s">
        <v>125</v>
      </c>
      <c r="D786" t="s">
        <v>133</v>
      </c>
      <c r="E786" t="s">
        <v>131</v>
      </c>
      <c r="F786" s="2">
        <v>30</v>
      </c>
    </row>
    <row r="787" spans="1:6">
      <c r="A787" s="1">
        <v>43548</v>
      </c>
      <c r="B787" t="s">
        <v>933</v>
      </c>
      <c r="C787" t="s">
        <v>157</v>
      </c>
      <c r="D787" t="s">
        <v>130</v>
      </c>
      <c r="E787" t="s">
        <v>127</v>
      </c>
      <c r="F787" s="2">
        <v>100</v>
      </c>
    </row>
    <row r="788" spans="1:6">
      <c r="A788" s="1">
        <v>43548</v>
      </c>
      <c r="B788" t="s">
        <v>934</v>
      </c>
      <c r="C788" t="s">
        <v>164</v>
      </c>
      <c r="D788" t="s">
        <v>120</v>
      </c>
      <c r="E788" t="s">
        <v>131</v>
      </c>
      <c r="F788" s="2">
        <v>90</v>
      </c>
    </row>
    <row r="789" spans="1:6">
      <c r="A789" s="1">
        <v>43548</v>
      </c>
      <c r="B789" t="s">
        <v>935</v>
      </c>
      <c r="C789" t="s">
        <v>143</v>
      </c>
      <c r="D789" t="s">
        <v>159</v>
      </c>
      <c r="E789" t="s">
        <v>131</v>
      </c>
      <c r="F789" s="2">
        <v>150</v>
      </c>
    </row>
    <row r="790" spans="1:6">
      <c r="A790" s="1">
        <v>43548</v>
      </c>
      <c r="B790" t="s">
        <v>936</v>
      </c>
      <c r="C790" t="s">
        <v>152</v>
      </c>
      <c r="D790" t="s">
        <v>126</v>
      </c>
      <c r="E790" t="s">
        <v>153</v>
      </c>
      <c r="F790" s="2">
        <v>160</v>
      </c>
    </row>
    <row r="791" spans="1:6">
      <c r="A791" s="1">
        <v>43548</v>
      </c>
      <c r="B791" t="s">
        <v>937</v>
      </c>
      <c r="C791" t="s">
        <v>129</v>
      </c>
      <c r="D791" t="s">
        <v>120</v>
      </c>
      <c r="E791" t="s">
        <v>153</v>
      </c>
      <c r="F791" s="2">
        <v>90</v>
      </c>
    </row>
    <row r="792" spans="1:6">
      <c r="A792" s="1">
        <v>43548</v>
      </c>
      <c r="B792" t="s">
        <v>938</v>
      </c>
      <c r="C792" t="s">
        <v>148</v>
      </c>
      <c r="D792" t="s">
        <v>133</v>
      </c>
      <c r="E792" t="s">
        <v>153</v>
      </c>
      <c r="F792" s="2">
        <v>30</v>
      </c>
    </row>
    <row r="793" spans="1:6">
      <c r="A793" s="1">
        <v>43548</v>
      </c>
      <c r="B793" t="s">
        <v>939</v>
      </c>
      <c r="C793" t="s">
        <v>223</v>
      </c>
      <c r="D793" t="s">
        <v>146</v>
      </c>
      <c r="E793" t="s">
        <v>134</v>
      </c>
      <c r="F793" s="2">
        <v>50</v>
      </c>
    </row>
    <row r="794" spans="1:6">
      <c r="A794" s="1">
        <v>43549</v>
      </c>
      <c r="B794" t="s">
        <v>940</v>
      </c>
      <c r="C794" t="s">
        <v>157</v>
      </c>
      <c r="D794" t="s">
        <v>133</v>
      </c>
      <c r="E794" t="s">
        <v>131</v>
      </c>
      <c r="F794" s="2">
        <v>30</v>
      </c>
    </row>
    <row r="795" spans="1:6">
      <c r="A795" s="1">
        <v>43549</v>
      </c>
      <c r="B795" t="s">
        <v>941</v>
      </c>
      <c r="C795" t="s">
        <v>189</v>
      </c>
      <c r="D795" t="s">
        <v>159</v>
      </c>
      <c r="E795" t="s">
        <v>127</v>
      </c>
      <c r="F795" s="2">
        <v>150</v>
      </c>
    </row>
    <row r="796" spans="1:6">
      <c r="A796" s="1">
        <v>43549</v>
      </c>
      <c r="B796" t="s">
        <v>942</v>
      </c>
      <c r="C796" t="s">
        <v>136</v>
      </c>
      <c r="D796" t="s">
        <v>120</v>
      </c>
      <c r="E796" t="s">
        <v>134</v>
      </c>
      <c r="F796" s="2">
        <v>90</v>
      </c>
    </row>
    <row r="797" spans="1:6">
      <c r="A797" s="1">
        <v>43549</v>
      </c>
      <c r="B797" t="s">
        <v>943</v>
      </c>
      <c r="C797" t="s">
        <v>157</v>
      </c>
      <c r="D797" t="s">
        <v>141</v>
      </c>
      <c r="E797" t="s">
        <v>134</v>
      </c>
      <c r="F797" s="2">
        <v>180</v>
      </c>
    </row>
    <row r="798" spans="1:6">
      <c r="A798" s="1">
        <v>43549</v>
      </c>
      <c r="B798" t="s">
        <v>944</v>
      </c>
      <c r="C798" t="s">
        <v>136</v>
      </c>
      <c r="D798" t="s">
        <v>133</v>
      </c>
      <c r="E798" t="s">
        <v>134</v>
      </c>
      <c r="F798" s="2">
        <v>30</v>
      </c>
    </row>
    <row r="799" spans="1:6">
      <c r="A799" s="1">
        <v>43549</v>
      </c>
      <c r="B799" t="s">
        <v>945</v>
      </c>
      <c r="C799" t="s">
        <v>189</v>
      </c>
      <c r="D799" t="s">
        <v>146</v>
      </c>
      <c r="E799" t="s">
        <v>131</v>
      </c>
      <c r="F799" s="2">
        <v>50</v>
      </c>
    </row>
    <row r="800" spans="1:6">
      <c r="A800" s="1">
        <v>43549</v>
      </c>
      <c r="B800" t="s">
        <v>946</v>
      </c>
      <c r="C800" t="s">
        <v>148</v>
      </c>
      <c r="D800" t="s">
        <v>141</v>
      </c>
      <c r="E800" t="s">
        <v>131</v>
      </c>
      <c r="F800" s="2">
        <v>180</v>
      </c>
    </row>
    <row r="801" spans="1:6">
      <c r="A801" s="1">
        <v>43549</v>
      </c>
      <c r="B801" t="s">
        <v>947</v>
      </c>
      <c r="C801" t="s">
        <v>123</v>
      </c>
      <c r="D801" t="s">
        <v>120</v>
      </c>
      <c r="E801" t="s">
        <v>131</v>
      </c>
      <c r="F801" s="2">
        <v>90</v>
      </c>
    </row>
    <row r="802" spans="1:6">
      <c r="A802" s="1">
        <v>43549</v>
      </c>
      <c r="B802" t="s">
        <v>948</v>
      </c>
      <c r="C802" t="s">
        <v>152</v>
      </c>
      <c r="D802" t="s">
        <v>159</v>
      </c>
      <c r="E802" t="s">
        <v>127</v>
      </c>
      <c r="F802" s="2">
        <v>150</v>
      </c>
    </row>
    <row r="803" spans="1:6">
      <c r="A803" s="1">
        <v>43550</v>
      </c>
      <c r="B803" t="s">
        <v>949</v>
      </c>
      <c r="C803" t="s">
        <v>157</v>
      </c>
      <c r="D803" t="s">
        <v>133</v>
      </c>
      <c r="E803" t="s">
        <v>153</v>
      </c>
      <c r="F803" s="2">
        <v>30</v>
      </c>
    </row>
    <row r="804" spans="1:6">
      <c r="A804" s="1">
        <v>43550</v>
      </c>
      <c r="B804" t="s">
        <v>950</v>
      </c>
      <c r="C804" t="s">
        <v>152</v>
      </c>
      <c r="D804" t="s">
        <v>141</v>
      </c>
      <c r="E804" t="s">
        <v>121</v>
      </c>
      <c r="F804" s="2">
        <v>180</v>
      </c>
    </row>
    <row r="805" spans="1:6">
      <c r="A805" s="1">
        <v>43550</v>
      </c>
      <c r="B805" t="s">
        <v>951</v>
      </c>
      <c r="C805" t="s">
        <v>143</v>
      </c>
      <c r="D805" t="s">
        <v>130</v>
      </c>
      <c r="E805" t="s">
        <v>153</v>
      </c>
      <c r="F805" s="2">
        <v>100</v>
      </c>
    </row>
    <row r="806" spans="1:6">
      <c r="A806" s="1">
        <v>43550</v>
      </c>
      <c r="B806" t="s">
        <v>952</v>
      </c>
      <c r="C806" t="s">
        <v>125</v>
      </c>
      <c r="D806" t="s">
        <v>141</v>
      </c>
      <c r="E806" t="s">
        <v>153</v>
      </c>
      <c r="F806" s="2">
        <v>180</v>
      </c>
    </row>
    <row r="807" spans="1:6">
      <c r="A807" s="1">
        <v>43550</v>
      </c>
      <c r="B807" t="s">
        <v>953</v>
      </c>
      <c r="C807" t="s">
        <v>136</v>
      </c>
      <c r="D807" t="s">
        <v>120</v>
      </c>
      <c r="E807" t="s">
        <v>127</v>
      </c>
      <c r="F807" s="2">
        <v>90</v>
      </c>
    </row>
    <row r="808" spans="1:6">
      <c r="A808" s="1">
        <v>43550</v>
      </c>
      <c r="B808" t="s">
        <v>954</v>
      </c>
      <c r="C808" t="s">
        <v>148</v>
      </c>
      <c r="D808" t="s">
        <v>126</v>
      </c>
      <c r="E808" t="s">
        <v>131</v>
      </c>
      <c r="F808" s="2">
        <v>160</v>
      </c>
    </row>
    <row r="809" spans="1:6">
      <c r="A809" s="1">
        <v>43551</v>
      </c>
      <c r="B809" t="s">
        <v>955</v>
      </c>
      <c r="C809" t="s">
        <v>189</v>
      </c>
      <c r="D809" t="s">
        <v>120</v>
      </c>
      <c r="E809" t="s">
        <v>131</v>
      </c>
      <c r="F809" s="2">
        <v>90</v>
      </c>
    </row>
    <row r="810" spans="1:6">
      <c r="A810" s="1">
        <v>43551</v>
      </c>
      <c r="B810" t="s">
        <v>956</v>
      </c>
      <c r="C810" t="s">
        <v>164</v>
      </c>
      <c r="D810" t="s">
        <v>133</v>
      </c>
      <c r="E810" t="s">
        <v>127</v>
      </c>
      <c r="F810" s="2">
        <v>30</v>
      </c>
    </row>
    <row r="811" spans="1:6">
      <c r="A811" s="1">
        <v>43551</v>
      </c>
      <c r="B811" t="s">
        <v>957</v>
      </c>
      <c r="C811" t="s">
        <v>129</v>
      </c>
      <c r="D811" t="s">
        <v>146</v>
      </c>
      <c r="E811" t="s">
        <v>131</v>
      </c>
      <c r="F811" s="2">
        <v>50</v>
      </c>
    </row>
    <row r="812" spans="1:6">
      <c r="A812" s="1">
        <v>43551</v>
      </c>
      <c r="B812" t="s">
        <v>958</v>
      </c>
      <c r="C812" t="s">
        <v>164</v>
      </c>
      <c r="D812" t="s">
        <v>159</v>
      </c>
      <c r="E812" t="s">
        <v>127</v>
      </c>
      <c r="F812" s="2">
        <v>150</v>
      </c>
    </row>
    <row r="813" spans="1:6">
      <c r="A813" s="1">
        <v>43551</v>
      </c>
      <c r="B813" t="s">
        <v>959</v>
      </c>
      <c r="C813" t="s">
        <v>189</v>
      </c>
      <c r="D813" t="s">
        <v>133</v>
      </c>
      <c r="E813" t="s">
        <v>121</v>
      </c>
      <c r="F813" s="2">
        <v>30</v>
      </c>
    </row>
    <row r="814" spans="1:6">
      <c r="A814" s="1">
        <v>43551</v>
      </c>
      <c r="B814" t="s">
        <v>960</v>
      </c>
      <c r="C814" t="s">
        <v>148</v>
      </c>
      <c r="D814" t="s">
        <v>120</v>
      </c>
      <c r="E814" t="s">
        <v>127</v>
      </c>
      <c r="F814" s="2">
        <v>90</v>
      </c>
    </row>
    <row r="815" spans="1:6">
      <c r="A815" s="1">
        <v>43551</v>
      </c>
      <c r="B815" t="s">
        <v>961</v>
      </c>
      <c r="C815" t="s">
        <v>164</v>
      </c>
      <c r="D815" t="s">
        <v>133</v>
      </c>
      <c r="E815" t="s">
        <v>127</v>
      </c>
      <c r="F815" s="2">
        <v>30</v>
      </c>
    </row>
    <row r="816" spans="1:6">
      <c r="A816" s="1">
        <v>43551</v>
      </c>
      <c r="B816" t="s">
        <v>962</v>
      </c>
      <c r="C816" t="s">
        <v>152</v>
      </c>
      <c r="D816" t="s">
        <v>133</v>
      </c>
      <c r="E816" t="s">
        <v>131</v>
      </c>
      <c r="F816" s="2">
        <v>30</v>
      </c>
    </row>
    <row r="817" spans="1:6">
      <c r="A817" s="1">
        <v>43551</v>
      </c>
      <c r="B817" t="s">
        <v>963</v>
      </c>
      <c r="C817" t="s">
        <v>164</v>
      </c>
      <c r="D817" t="s">
        <v>139</v>
      </c>
      <c r="E817" t="s">
        <v>127</v>
      </c>
      <c r="F817" s="2">
        <v>80</v>
      </c>
    </row>
    <row r="818" spans="1:6">
      <c r="A818" s="1">
        <v>43551</v>
      </c>
      <c r="B818" t="s">
        <v>964</v>
      </c>
      <c r="C818" t="s">
        <v>125</v>
      </c>
      <c r="D818" t="s">
        <v>159</v>
      </c>
      <c r="E818" t="s">
        <v>121</v>
      </c>
      <c r="F818" s="2">
        <v>150</v>
      </c>
    </row>
    <row r="819" spans="1:6">
      <c r="A819" s="1">
        <v>43552</v>
      </c>
      <c r="B819" t="s">
        <v>965</v>
      </c>
      <c r="C819" t="s">
        <v>123</v>
      </c>
      <c r="D819" t="s">
        <v>139</v>
      </c>
      <c r="E819" t="s">
        <v>153</v>
      </c>
      <c r="F819" s="2">
        <v>80</v>
      </c>
    </row>
    <row r="820" spans="1:6">
      <c r="A820" s="1">
        <v>43552</v>
      </c>
      <c r="B820" t="s">
        <v>966</v>
      </c>
      <c r="C820" t="s">
        <v>152</v>
      </c>
      <c r="D820" t="s">
        <v>130</v>
      </c>
      <c r="E820" t="s">
        <v>131</v>
      </c>
      <c r="F820" s="2">
        <v>100</v>
      </c>
    </row>
    <row r="821" spans="1:6">
      <c r="A821" s="1">
        <v>43552</v>
      </c>
      <c r="B821" t="s">
        <v>967</v>
      </c>
      <c r="C821" t="s">
        <v>167</v>
      </c>
      <c r="D821" t="s">
        <v>120</v>
      </c>
      <c r="E821" t="s">
        <v>121</v>
      </c>
      <c r="F821" s="2">
        <v>90</v>
      </c>
    </row>
    <row r="822" spans="1:6">
      <c r="A822" s="1">
        <v>43552</v>
      </c>
      <c r="B822" t="s">
        <v>968</v>
      </c>
      <c r="C822" t="s">
        <v>152</v>
      </c>
      <c r="D822" t="s">
        <v>146</v>
      </c>
      <c r="E822" t="s">
        <v>121</v>
      </c>
      <c r="F822" s="2">
        <v>50</v>
      </c>
    </row>
    <row r="823" spans="1:6">
      <c r="A823" s="1">
        <v>43552</v>
      </c>
      <c r="B823" t="s">
        <v>969</v>
      </c>
      <c r="C823" t="s">
        <v>164</v>
      </c>
      <c r="D823" t="s">
        <v>141</v>
      </c>
      <c r="E823" t="s">
        <v>121</v>
      </c>
      <c r="F823" s="2">
        <v>180</v>
      </c>
    </row>
    <row r="824" spans="1:6">
      <c r="A824" s="1">
        <v>43552</v>
      </c>
      <c r="B824" t="s">
        <v>970</v>
      </c>
      <c r="C824" t="s">
        <v>157</v>
      </c>
      <c r="D824" t="s">
        <v>159</v>
      </c>
      <c r="E824" t="s">
        <v>127</v>
      </c>
      <c r="F824" s="2">
        <v>150</v>
      </c>
    </row>
    <row r="825" spans="1:6">
      <c r="A825" s="1">
        <v>43552</v>
      </c>
      <c r="B825" t="s">
        <v>971</v>
      </c>
      <c r="C825" t="s">
        <v>138</v>
      </c>
      <c r="D825" t="s">
        <v>120</v>
      </c>
      <c r="E825" t="s">
        <v>127</v>
      </c>
      <c r="F825" s="2">
        <v>90</v>
      </c>
    </row>
    <row r="826" spans="1:6">
      <c r="A826" s="1">
        <v>43552</v>
      </c>
      <c r="B826" t="s">
        <v>972</v>
      </c>
      <c r="C826" t="s">
        <v>167</v>
      </c>
      <c r="D826" t="s">
        <v>139</v>
      </c>
      <c r="E826" t="s">
        <v>121</v>
      </c>
      <c r="F826" s="2">
        <v>80</v>
      </c>
    </row>
    <row r="827" spans="1:6">
      <c r="A827" s="1">
        <v>43552</v>
      </c>
      <c r="B827" t="s">
        <v>973</v>
      </c>
      <c r="C827" t="s">
        <v>123</v>
      </c>
      <c r="D827" t="s">
        <v>126</v>
      </c>
      <c r="E827" t="s">
        <v>153</v>
      </c>
      <c r="F827" s="2">
        <v>160</v>
      </c>
    </row>
    <row r="828" spans="1:6">
      <c r="A828" s="1">
        <v>43552</v>
      </c>
      <c r="B828" t="s">
        <v>974</v>
      </c>
      <c r="C828" t="s">
        <v>143</v>
      </c>
      <c r="D828" t="s">
        <v>141</v>
      </c>
      <c r="E828" t="s">
        <v>131</v>
      </c>
      <c r="F828" s="2">
        <v>180</v>
      </c>
    </row>
    <row r="829" spans="1:6">
      <c r="A829" s="1">
        <v>43552</v>
      </c>
      <c r="B829" t="s">
        <v>975</v>
      </c>
      <c r="C829" t="s">
        <v>138</v>
      </c>
      <c r="D829" t="s">
        <v>120</v>
      </c>
      <c r="E829" t="s">
        <v>121</v>
      </c>
      <c r="F829" s="2">
        <v>90</v>
      </c>
    </row>
    <row r="830" spans="1:6">
      <c r="A830" s="1">
        <v>43553</v>
      </c>
      <c r="B830" t="s">
        <v>976</v>
      </c>
      <c r="C830" t="s">
        <v>182</v>
      </c>
      <c r="D830" t="s">
        <v>139</v>
      </c>
      <c r="E830" t="s">
        <v>127</v>
      </c>
      <c r="F830" s="2">
        <v>80</v>
      </c>
    </row>
    <row r="831" spans="1:6">
      <c r="A831" s="1">
        <v>43553</v>
      </c>
      <c r="B831" t="s">
        <v>977</v>
      </c>
      <c r="C831" t="s">
        <v>152</v>
      </c>
      <c r="D831" t="s">
        <v>130</v>
      </c>
      <c r="E831" t="s">
        <v>127</v>
      </c>
      <c r="F831" s="2">
        <v>100</v>
      </c>
    </row>
    <row r="832" spans="1:6">
      <c r="A832" s="1">
        <v>43553</v>
      </c>
      <c r="B832" t="s">
        <v>978</v>
      </c>
      <c r="C832" t="s">
        <v>152</v>
      </c>
      <c r="D832" t="s">
        <v>126</v>
      </c>
      <c r="E832" t="s">
        <v>127</v>
      </c>
      <c r="F832" s="2">
        <v>160</v>
      </c>
    </row>
    <row r="833" spans="1:6">
      <c r="A833" s="1">
        <v>43553</v>
      </c>
      <c r="B833" t="s">
        <v>979</v>
      </c>
      <c r="C833" t="s">
        <v>189</v>
      </c>
      <c r="D833" t="s">
        <v>133</v>
      </c>
      <c r="E833" t="s">
        <v>131</v>
      </c>
      <c r="F833" s="2">
        <v>30</v>
      </c>
    </row>
    <row r="834" spans="1:6">
      <c r="A834" s="1">
        <v>43553</v>
      </c>
      <c r="B834" t="s">
        <v>980</v>
      </c>
      <c r="C834" t="s">
        <v>189</v>
      </c>
      <c r="D834" t="s">
        <v>120</v>
      </c>
      <c r="E834" t="s">
        <v>121</v>
      </c>
      <c r="F834" s="2">
        <v>90</v>
      </c>
    </row>
    <row r="835" spans="1:6">
      <c r="A835" s="1">
        <v>43554</v>
      </c>
      <c r="B835" t="s">
        <v>981</v>
      </c>
      <c r="C835" t="s">
        <v>187</v>
      </c>
      <c r="D835" t="s">
        <v>141</v>
      </c>
      <c r="E835" t="s">
        <v>131</v>
      </c>
      <c r="F835" s="2">
        <v>180</v>
      </c>
    </row>
    <row r="836" spans="1:6">
      <c r="A836" s="1">
        <v>43554</v>
      </c>
      <c r="B836" t="s">
        <v>982</v>
      </c>
      <c r="C836" t="s">
        <v>187</v>
      </c>
      <c r="D836" t="s">
        <v>133</v>
      </c>
      <c r="E836" t="s">
        <v>131</v>
      </c>
      <c r="F836" s="2">
        <v>30</v>
      </c>
    </row>
    <row r="837" spans="1:6">
      <c r="A837" s="1">
        <v>43554</v>
      </c>
      <c r="B837" t="s">
        <v>983</v>
      </c>
      <c r="C837" t="s">
        <v>119</v>
      </c>
      <c r="D837" t="s">
        <v>120</v>
      </c>
      <c r="E837" t="s">
        <v>127</v>
      </c>
      <c r="F837" s="2">
        <v>90</v>
      </c>
    </row>
    <row r="838" spans="1:6">
      <c r="A838" s="1">
        <v>43554</v>
      </c>
      <c r="B838" t="s">
        <v>984</v>
      </c>
      <c r="C838" t="s">
        <v>129</v>
      </c>
      <c r="D838" t="s">
        <v>120</v>
      </c>
      <c r="E838" t="s">
        <v>134</v>
      </c>
      <c r="F838" s="2">
        <v>90</v>
      </c>
    </row>
    <row r="839" spans="1:6">
      <c r="A839" s="1">
        <v>43554</v>
      </c>
      <c r="B839" t="s">
        <v>985</v>
      </c>
      <c r="C839" t="s">
        <v>125</v>
      </c>
      <c r="D839" t="s">
        <v>146</v>
      </c>
      <c r="E839" t="s">
        <v>121</v>
      </c>
      <c r="F839" s="2">
        <v>50</v>
      </c>
    </row>
    <row r="840" spans="1:6">
      <c r="A840" s="1">
        <v>43554</v>
      </c>
      <c r="B840" t="s">
        <v>986</v>
      </c>
      <c r="C840" t="s">
        <v>148</v>
      </c>
      <c r="D840" t="s">
        <v>146</v>
      </c>
      <c r="E840" t="s">
        <v>153</v>
      </c>
      <c r="F840" s="2">
        <v>50</v>
      </c>
    </row>
    <row r="841" spans="1:6">
      <c r="A841" s="1">
        <v>43554</v>
      </c>
      <c r="B841" t="s">
        <v>987</v>
      </c>
      <c r="C841" t="s">
        <v>189</v>
      </c>
      <c r="D841" t="s">
        <v>133</v>
      </c>
      <c r="E841" t="s">
        <v>131</v>
      </c>
      <c r="F841" s="2">
        <v>30</v>
      </c>
    </row>
    <row r="842" spans="1:6">
      <c r="A842" s="1">
        <v>43554</v>
      </c>
      <c r="B842" t="s">
        <v>988</v>
      </c>
      <c r="C842" t="s">
        <v>223</v>
      </c>
      <c r="D842" t="s">
        <v>146</v>
      </c>
      <c r="E842" t="s">
        <v>134</v>
      </c>
      <c r="F842" s="2">
        <v>50</v>
      </c>
    </row>
    <row r="843" spans="1:6">
      <c r="A843" s="1">
        <v>43554</v>
      </c>
      <c r="B843" t="s">
        <v>989</v>
      </c>
      <c r="C843" t="s">
        <v>152</v>
      </c>
      <c r="D843" t="s">
        <v>133</v>
      </c>
      <c r="E843" t="s">
        <v>131</v>
      </c>
      <c r="F843" s="2">
        <v>30</v>
      </c>
    </row>
    <row r="844" spans="1:6">
      <c r="A844" s="1">
        <v>43554</v>
      </c>
      <c r="B844" t="s">
        <v>990</v>
      </c>
      <c r="C844" t="s">
        <v>138</v>
      </c>
      <c r="D844" t="s">
        <v>139</v>
      </c>
      <c r="E844" t="s">
        <v>121</v>
      </c>
      <c r="F844" s="2">
        <v>80</v>
      </c>
    </row>
    <row r="845" spans="1:6">
      <c r="A845" s="1">
        <v>43554</v>
      </c>
      <c r="B845" t="s">
        <v>991</v>
      </c>
      <c r="C845" t="s">
        <v>157</v>
      </c>
      <c r="D845" t="s">
        <v>130</v>
      </c>
      <c r="E845" t="s">
        <v>131</v>
      </c>
      <c r="F845" s="2">
        <v>100</v>
      </c>
    </row>
    <row r="846" spans="1:6">
      <c r="A846" s="1">
        <v>43554</v>
      </c>
      <c r="B846" t="s">
        <v>992</v>
      </c>
      <c r="C846" t="s">
        <v>123</v>
      </c>
      <c r="D846" t="s">
        <v>139</v>
      </c>
      <c r="E846" t="s">
        <v>121</v>
      </c>
      <c r="F846" s="2">
        <v>80</v>
      </c>
    </row>
    <row r="847" spans="1:6">
      <c r="A847" s="1">
        <v>43554</v>
      </c>
      <c r="B847" t="s">
        <v>993</v>
      </c>
      <c r="C847" t="s">
        <v>167</v>
      </c>
      <c r="D847" t="s">
        <v>126</v>
      </c>
      <c r="E847" t="s">
        <v>134</v>
      </c>
      <c r="F847" s="2">
        <v>160</v>
      </c>
    </row>
    <row r="848" spans="1:6">
      <c r="A848" s="1">
        <v>43554</v>
      </c>
      <c r="B848" t="s">
        <v>994</v>
      </c>
      <c r="C848" t="s">
        <v>152</v>
      </c>
      <c r="D848" t="s">
        <v>139</v>
      </c>
      <c r="E848" t="s">
        <v>131</v>
      </c>
      <c r="F848" s="2">
        <v>80</v>
      </c>
    </row>
    <row r="849" spans="1:6">
      <c r="A849" s="1">
        <v>43554</v>
      </c>
      <c r="B849" t="s">
        <v>995</v>
      </c>
      <c r="C849" t="s">
        <v>182</v>
      </c>
      <c r="D849" t="s">
        <v>133</v>
      </c>
      <c r="E849" t="s">
        <v>121</v>
      </c>
      <c r="F849" s="2">
        <v>30</v>
      </c>
    </row>
    <row r="850" spans="1:6">
      <c r="A850" s="1">
        <v>43555</v>
      </c>
      <c r="B850" t="s">
        <v>996</v>
      </c>
      <c r="C850" t="s">
        <v>138</v>
      </c>
      <c r="D850" t="s">
        <v>126</v>
      </c>
      <c r="E850" t="s">
        <v>121</v>
      </c>
      <c r="F850" s="2">
        <v>160</v>
      </c>
    </row>
    <row r="851" spans="1:6">
      <c r="A851" s="1">
        <v>43555</v>
      </c>
      <c r="B851" t="s">
        <v>997</v>
      </c>
      <c r="C851" t="s">
        <v>164</v>
      </c>
      <c r="D851" t="s">
        <v>133</v>
      </c>
      <c r="E851" t="s">
        <v>134</v>
      </c>
      <c r="F851" s="2">
        <v>30</v>
      </c>
    </row>
    <row r="852" spans="1:6">
      <c r="A852" s="1">
        <v>43555</v>
      </c>
      <c r="B852" t="s">
        <v>998</v>
      </c>
      <c r="C852" t="s">
        <v>145</v>
      </c>
      <c r="D852" t="s">
        <v>139</v>
      </c>
      <c r="E852" t="s">
        <v>121</v>
      </c>
      <c r="F852" s="2">
        <v>80</v>
      </c>
    </row>
    <row r="853" spans="1:6">
      <c r="A853" s="1">
        <v>43555</v>
      </c>
      <c r="B853" t="s">
        <v>999</v>
      </c>
      <c r="C853" t="s">
        <v>138</v>
      </c>
      <c r="D853" t="s">
        <v>141</v>
      </c>
      <c r="E853" t="s">
        <v>127</v>
      </c>
      <c r="F853" s="2">
        <v>180</v>
      </c>
    </row>
    <row r="854" spans="1:6">
      <c r="A854" s="1">
        <v>43555</v>
      </c>
      <c r="B854" t="s">
        <v>1000</v>
      </c>
      <c r="C854" t="s">
        <v>145</v>
      </c>
      <c r="D854" t="s">
        <v>130</v>
      </c>
      <c r="E854" t="s">
        <v>131</v>
      </c>
      <c r="F854" s="2">
        <v>100</v>
      </c>
    </row>
    <row r="855" spans="1:6">
      <c r="A855" s="1">
        <v>43555</v>
      </c>
      <c r="B855" t="s">
        <v>1001</v>
      </c>
      <c r="C855" t="s">
        <v>152</v>
      </c>
      <c r="D855" t="s">
        <v>133</v>
      </c>
      <c r="E855" t="s">
        <v>131</v>
      </c>
      <c r="F855" s="2">
        <v>30</v>
      </c>
    </row>
    <row r="856" spans="1:6">
      <c r="A856" s="1">
        <v>43555</v>
      </c>
      <c r="B856" t="s">
        <v>1002</v>
      </c>
      <c r="C856" t="s">
        <v>189</v>
      </c>
      <c r="D856" t="s">
        <v>133</v>
      </c>
      <c r="E856" t="s">
        <v>131</v>
      </c>
      <c r="F856" s="2">
        <v>30</v>
      </c>
    </row>
    <row r="857" spans="1:6">
      <c r="A857" s="1">
        <v>43555</v>
      </c>
      <c r="B857" t="s">
        <v>1003</v>
      </c>
      <c r="C857" t="s">
        <v>182</v>
      </c>
      <c r="D857" t="s">
        <v>120</v>
      </c>
      <c r="E857" t="s">
        <v>131</v>
      </c>
      <c r="F857" s="2">
        <v>90</v>
      </c>
    </row>
    <row r="858" spans="1:6">
      <c r="A858" s="1">
        <v>43556</v>
      </c>
      <c r="B858" t="s">
        <v>1004</v>
      </c>
      <c r="C858" t="s">
        <v>187</v>
      </c>
      <c r="D858" t="s">
        <v>141</v>
      </c>
      <c r="E858" t="s">
        <v>131</v>
      </c>
      <c r="F858" s="2">
        <v>180</v>
      </c>
    </row>
    <row r="859" spans="1:6">
      <c r="A859" s="1">
        <v>43556</v>
      </c>
      <c r="B859" t="s">
        <v>1005</v>
      </c>
      <c r="C859" t="s">
        <v>125</v>
      </c>
      <c r="D859" t="s">
        <v>139</v>
      </c>
      <c r="E859" t="s">
        <v>134</v>
      </c>
      <c r="F859" s="2">
        <v>80</v>
      </c>
    </row>
    <row r="860" spans="1:6">
      <c r="A860" s="1">
        <v>43556</v>
      </c>
      <c r="B860" t="s">
        <v>1006</v>
      </c>
      <c r="C860" t="s">
        <v>182</v>
      </c>
      <c r="D860" t="s">
        <v>120</v>
      </c>
      <c r="E860" t="s">
        <v>134</v>
      </c>
      <c r="F860" s="2">
        <v>90</v>
      </c>
    </row>
    <row r="861" spans="1:6">
      <c r="A861" s="1">
        <v>43556</v>
      </c>
      <c r="B861" t="s">
        <v>1007</v>
      </c>
      <c r="C861" t="s">
        <v>125</v>
      </c>
      <c r="D861" t="s">
        <v>130</v>
      </c>
      <c r="E861" t="s">
        <v>134</v>
      </c>
      <c r="F861" s="2">
        <v>100</v>
      </c>
    </row>
    <row r="862" spans="1:6">
      <c r="A862" s="1">
        <v>43556</v>
      </c>
      <c r="B862" t="s">
        <v>1008</v>
      </c>
      <c r="C862" t="s">
        <v>119</v>
      </c>
      <c r="D862" t="s">
        <v>141</v>
      </c>
      <c r="E862" t="s">
        <v>153</v>
      </c>
      <c r="F862" s="2">
        <v>180</v>
      </c>
    </row>
    <row r="863" spans="1:6">
      <c r="A863" s="1">
        <v>43556</v>
      </c>
      <c r="B863" t="s">
        <v>1009</v>
      </c>
      <c r="C863" t="s">
        <v>125</v>
      </c>
      <c r="D863" t="s">
        <v>133</v>
      </c>
      <c r="E863" t="s">
        <v>121</v>
      </c>
      <c r="F863" s="2">
        <v>30</v>
      </c>
    </row>
    <row r="864" spans="1:6">
      <c r="A864" s="1">
        <v>43557</v>
      </c>
      <c r="B864" t="s">
        <v>1010</v>
      </c>
      <c r="C864" t="s">
        <v>167</v>
      </c>
      <c r="D864" t="s">
        <v>139</v>
      </c>
      <c r="E864" t="s">
        <v>153</v>
      </c>
      <c r="F864" s="2">
        <v>80</v>
      </c>
    </row>
    <row r="865" spans="1:6">
      <c r="A865" s="1">
        <v>43557</v>
      </c>
      <c r="B865" t="s">
        <v>1011</v>
      </c>
      <c r="C865" t="s">
        <v>152</v>
      </c>
      <c r="D865" t="s">
        <v>141</v>
      </c>
      <c r="E865" t="s">
        <v>153</v>
      </c>
      <c r="F865" s="2">
        <v>180</v>
      </c>
    </row>
    <row r="866" spans="1:6">
      <c r="A866" s="1">
        <v>43557</v>
      </c>
      <c r="B866" t="s">
        <v>1012</v>
      </c>
      <c r="C866" t="s">
        <v>129</v>
      </c>
      <c r="D866" t="s">
        <v>141</v>
      </c>
      <c r="E866" t="s">
        <v>134</v>
      </c>
      <c r="F866" s="2">
        <v>180</v>
      </c>
    </row>
    <row r="867" spans="1:6">
      <c r="A867" s="1">
        <v>43557</v>
      </c>
      <c r="B867" t="s">
        <v>1013</v>
      </c>
      <c r="C867" t="s">
        <v>145</v>
      </c>
      <c r="D867" t="s">
        <v>139</v>
      </c>
      <c r="E867" t="s">
        <v>153</v>
      </c>
      <c r="F867" s="2">
        <v>80</v>
      </c>
    </row>
    <row r="868" spans="1:6">
      <c r="A868" s="1">
        <v>43557</v>
      </c>
      <c r="B868" t="s">
        <v>1014</v>
      </c>
      <c r="C868" t="s">
        <v>138</v>
      </c>
      <c r="D868" t="s">
        <v>133</v>
      </c>
      <c r="E868" t="s">
        <v>131</v>
      </c>
      <c r="F868" s="2">
        <v>30</v>
      </c>
    </row>
    <row r="869" spans="1:6">
      <c r="A869" s="1">
        <v>43557</v>
      </c>
      <c r="B869" t="s">
        <v>1015</v>
      </c>
      <c r="C869" t="s">
        <v>223</v>
      </c>
      <c r="D869" t="s">
        <v>141</v>
      </c>
      <c r="E869" t="s">
        <v>127</v>
      </c>
      <c r="F869" s="2">
        <v>180</v>
      </c>
    </row>
    <row r="870" spans="1:6">
      <c r="A870" s="1">
        <v>43557</v>
      </c>
      <c r="B870" t="s">
        <v>1016</v>
      </c>
      <c r="C870" t="s">
        <v>145</v>
      </c>
      <c r="D870" t="s">
        <v>146</v>
      </c>
      <c r="E870" t="s">
        <v>121</v>
      </c>
      <c r="F870" s="2">
        <v>50</v>
      </c>
    </row>
    <row r="871" spans="1:6">
      <c r="A871" s="1">
        <v>43557</v>
      </c>
      <c r="B871" t="s">
        <v>1017</v>
      </c>
      <c r="C871" t="s">
        <v>138</v>
      </c>
      <c r="D871" t="s">
        <v>120</v>
      </c>
      <c r="E871" t="s">
        <v>127</v>
      </c>
      <c r="F871" s="2">
        <v>90</v>
      </c>
    </row>
    <row r="872" spans="1:6">
      <c r="A872" s="1">
        <v>43557</v>
      </c>
      <c r="B872" t="s">
        <v>1018</v>
      </c>
      <c r="C872" t="s">
        <v>148</v>
      </c>
      <c r="D872" t="s">
        <v>139</v>
      </c>
      <c r="E872" t="s">
        <v>131</v>
      </c>
      <c r="F872" s="2">
        <v>80</v>
      </c>
    </row>
    <row r="873" spans="1:6">
      <c r="A873" s="1">
        <v>43557</v>
      </c>
      <c r="B873" t="s">
        <v>1019</v>
      </c>
      <c r="C873" t="s">
        <v>157</v>
      </c>
      <c r="D873" t="s">
        <v>159</v>
      </c>
      <c r="E873" t="s">
        <v>121</v>
      </c>
      <c r="F873" s="2">
        <v>150</v>
      </c>
    </row>
    <row r="874" spans="1:6">
      <c r="A874" s="1">
        <v>43557</v>
      </c>
      <c r="B874" t="s">
        <v>1020</v>
      </c>
      <c r="C874" t="s">
        <v>189</v>
      </c>
      <c r="D874" t="s">
        <v>141</v>
      </c>
      <c r="E874" t="s">
        <v>134</v>
      </c>
      <c r="F874" s="2">
        <v>180</v>
      </c>
    </row>
    <row r="875" spans="1:6">
      <c r="A875" s="1">
        <v>43557</v>
      </c>
      <c r="B875" t="s">
        <v>1021</v>
      </c>
      <c r="C875" t="s">
        <v>129</v>
      </c>
      <c r="D875" t="s">
        <v>141</v>
      </c>
      <c r="E875" t="s">
        <v>121</v>
      </c>
      <c r="F875" s="2">
        <v>180</v>
      </c>
    </row>
    <row r="876" spans="1:6">
      <c r="A876" s="1">
        <v>43557</v>
      </c>
      <c r="B876" t="s">
        <v>1022</v>
      </c>
      <c r="C876" t="s">
        <v>187</v>
      </c>
      <c r="D876" t="s">
        <v>120</v>
      </c>
      <c r="E876" t="s">
        <v>121</v>
      </c>
      <c r="F876" s="2">
        <v>90</v>
      </c>
    </row>
    <row r="877" spans="1:6">
      <c r="A877" s="1">
        <v>43557</v>
      </c>
      <c r="B877" t="s">
        <v>1023</v>
      </c>
      <c r="C877" t="s">
        <v>143</v>
      </c>
      <c r="D877" t="s">
        <v>141</v>
      </c>
      <c r="E877" t="s">
        <v>153</v>
      </c>
      <c r="F877" s="2">
        <v>180</v>
      </c>
    </row>
    <row r="878" spans="1:6">
      <c r="A878" s="1">
        <v>43557</v>
      </c>
      <c r="B878" t="s">
        <v>1024</v>
      </c>
      <c r="C878" t="s">
        <v>138</v>
      </c>
      <c r="D878" t="s">
        <v>130</v>
      </c>
      <c r="E878" t="s">
        <v>121</v>
      </c>
      <c r="F878" s="2">
        <v>100</v>
      </c>
    </row>
    <row r="879" spans="1:6">
      <c r="A879" s="1">
        <v>43558</v>
      </c>
      <c r="B879" t="s">
        <v>1025</v>
      </c>
      <c r="C879" t="s">
        <v>148</v>
      </c>
      <c r="D879" t="s">
        <v>146</v>
      </c>
      <c r="E879" t="s">
        <v>153</v>
      </c>
      <c r="F879" s="2">
        <v>50</v>
      </c>
    </row>
    <row r="880" spans="1:6">
      <c r="A880" s="1">
        <v>43558</v>
      </c>
      <c r="B880" t="s">
        <v>1026</v>
      </c>
      <c r="C880" t="s">
        <v>189</v>
      </c>
      <c r="D880" t="s">
        <v>141</v>
      </c>
      <c r="E880" t="s">
        <v>153</v>
      </c>
      <c r="F880" s="2">
        <v>180</v>
      </c>
    </row>
    <row r="881" spans="1:6">
      <c r="A881" s="1">
        <v>43558</v>
      </c>
      <c r="B881" t="s">
        <v>1027</v>
      </c>
      <c r="C881" t="s">
        <v>119</v>
      </c>
      <c r="D881" t="s">
        <v>120</v>
      </c>
      <c r="E881" t="s">
        <v>134</v>
      </c>
      <c r="F881" s="2">
        <v>90</v>
      </c>
    </row>
    <row r="882" spans="1:6">
      <c r="A882" s="1">
        <v>43558</v>
      </c>
      <c r="B882" t="s">
        <v>1028</v>
      </c>
      <c r="C882" t="s">
        <v>223</v>
      </c>
      <c r="D882" t="s">
        <v>130</v>
      </c>
      <c r="E882" t="s">
        <v>134</v>
      </c>
      <c r="F882" s="2">
        <v>100</v>
      </c>
    </row>
    <row r="883" spans="1:6">
      <c r="A883" s="1">
        <v>43558</v>
      </c>
      <c r="B883" t="s">
        <v>1029</v>
      </c>
      <c r="C883" t="s">
        <v>129</v>
      </c>
      <c r="D883" t="s">
        <v>146</v>
      </c>
      <c r="E883" t="s">
        <v>127</v>
      </c>
      <c r="F883" s="2">
        <v>50</v>
      </c>
    </row>
    <row r="884" spans="1:6">
      <c r="A884" s="1">
        <v>43558</v>
      </c>
      <c r="B884" t="s">
        <v>1030</v>
      </c>
      <c r="C884" t="s">
        <v>223</v>
      </c>
      <c r="D884" t="s">
        <v>139</v>
      </c>
      <c r="E884" t="s">
        <v>121</v>
      </c>
      <c r="F884" s="2">
        <v>80</v>
      </c>
    </row>
    <row r="885" spans="1:6">
      <c r="A885" s="1">
        <v>43558</v>
      </c>
      <c r="B885" t="s">
        <v>1031</v>
      </c>
      <c r="C885" t="s">
        <v>145</v>
      </c>
      <c r="D885" t="s">
        <v>146</v>
      </c>
      <c r="E885" t="s">
        <v>131</v>
      </c>
      <c r="F885" s="2">
        <v>50</v>
      </c>
    </row>
    <row r="886" spans="1:6">
      <c r="A886" s="1">
        <v>43558</v>
      </c>
      <c r="B886" t="s">
        <v>1032</v>
      </c>
      <c r="C886" t="s">
        <v>157</v>
      </c>
      <c r="D886" t="s">
        <v>139</v>
      </c>
      <c r="E886" t="s">
        <v>121</v>
      </c>
      <c r="F886" s="2">
        <v>80</v>
      </c>
    </row>
    <row r="887" spans="1:6">
      <c r="A887" s="1">
        <v>43558</v>
      </c>
      <c r="B887" t="s">
        <v>1033</v>
      </c>
      <c r="C887" t="s">
        <v>157</v>
      </c>
      <c r="D887" t="s">
        <v>146</v>
      </c>
      <c r="E887" t="s">
        <v>121</v>
      </c>
      <c r="F887" s="2">
        <v>50</v>
      </c>
    </row>
    <row r="888" spans="1:6">
      <c r="A888" s="1">
        <v>43558</v>
      </c>
      <c r="B888" t="s">
        <v>1034</v>
      </c>
      <c r="C888" t="s">
        <v>123</v>
      </c>
      <c r="D888" t="s">
        <v>139</v>
      </c>
      <c r="E888" t="s">
        <v>134</v>
      </c>
      <c r="F888" s="2">
        <v>80</v>
      </c>
    </row>
    <row r="889" spans="1:6">
      <c r="A889" s="1">
        <v>43559</v>
      </c>
      <c r="B889" t="s">
        <v>1035</v>
      </c>
      <c r="C889" t="s">
        <v>187</v>
      </c>
      <c r="D889" t="s">
        <v>133</v>
      </c>
      <c r="E889" t="s">
        <v>127</v>
      </c>
      <c r="F889" s="2">
        <v>30</v>
      </c>
    </row>
    <row r="890" spans="1:6">
      <c r="A890" s="1">
        <v>43559</v>
      </c>
      <c r="B890" t="s">
        <v>1036</v>
      </c>
      <c r="C890" t="s">
        <v>167</v>
      </c>
      <c r="D890" t="s">
        <v>126</v>
      </c>
      <c r="E890" t="s">
        <v>153</v>
      </c>
      <c r="F890" s="2">
        <v>160</v>
      </c>
    </row>
    <row r="891" spans="1:6">
      <c r="A891" s="1">
        <v>43559</v>
      </c>
      <c r="B891" t="s">
        <v>1037</v>
      </c>
      <c r="C891" t="s">
        <v>143</v>
      </c>
      <c r="D891" t="s">
        <v>139</v>
      </c>
      <c r="E891" t="s">
        <v>153</v>
      </c>
      <c r="F891" s="2">
        <v>80</v>
      </c>
    </row>
    <row r="892" spans="1:6">
      <c r="A892" s="1">
        <v>43559</v>
      </c>
      <c r="B892" t="s">
        <v>1038</v>
      </c>
      <c r="C892" t="s">
        <v>129</v>
      </c>
      <c r="D892" t="s">
        <v>120</v>
      </c>
      <c r="E892" t="s">
        <v>131</v>
      </c>
      <c r="F892" s="2">
        <v>90</v>
      </c>
    </row>
    <row r="893" spans="1:6">
      <c r="A893" s="1">
        <v>43559</v>
      </c>
      <c r="B893" t="s">
        <v>1039</v>
      </c>
      <c r="C893" t="s">
        <v>143</v>
      </c>
      <c r="D893" t="s">
        <v>130</v>
      </c>
      <c r="E893" t="s">
        <v>121</v>
      </c>
      <c r="F893" s="2">
        <v>100</v>
      </c>
    </row>
    <row r="894" spans="1:6">
      <c r="A894" s="1">
        <v>43559</v>
      </c>
      <c r="B894" t="s">
        <v>1040</v>
      </c>
      <c r="C894" t="s">
        <v>167</v>
      </c>
      <c r="D894" t="s">
        <v>120</v>
      </c>
      <c r="E894" t="s">
        <v>121</v>
      </c>
      <c r="F894" s="2">
        <v>90</v>
      </c>
    </row>
    <row r="895" spans="1:6">
      <c r="A895" s="1">
        <v>43559</v>
      </c>
      <c r="B895" t="s">
        <v>1041</v>
      </c>
      <c r="C895" t="s">
        <v>152</v>
      </c>
      <c r="D895" t="s">
        <v>133</v>
      </c>
      <c r="E895" t="s">
        <v>153</v>
      </c>
      <c r="F895" s="2">
        <v>30</v>
      </c>
    </row>
    <row r="896" spans="1:6">
      <c r="A896" s="1">
        <v>43559</v>
      </c>
      <c r="B896" t="s">
        <v>1042</v>
      </c>
      <c r="C896" t="s">
        <v>119</v>
      </c>
      <c r="D896" t="s">
        <v>146</v>
      </c>
      <c r="E896" t="s">
        <v>153</v>
      </c>
      <c r="F896" s="2">
        <v>50</v>
      </c>
    </row>
    <row r="897" spans="1:6">
      <c r="A897" s="1">
        <v>43559</v>
      </c>
      <c r="B897" t="s">
        <v>1043</v>
      </c>
      <c r="C897" t="s">
        <v>143</v>
      </c>
      <c r="D897" t="s">
        <v>146</v>
      </c>
      <c r="E897" t="s">
        <v>134</v>
      </c>
      <c r="F897" s="2">
        <v>50</v>
      </c>
    </row>
    <row r="898" spans="1:6">
      <c r="A898" s="1">
        <v>43560</v>
      </c>
      <c r="B898" t="s">
        <v>1044</v>
      </c>
      <c r="C898" t="s">
        <v>138</v>
      </c>
      <c r="D898" t="s">
        <v>159</v>
      </c>
      <c r="E898" t="s">
        <v>127</v>
      </c>
      <c r="F898" s="2">
        <v>150</v>
      </c>
    </row>
    <row r="899" spans="1:6">
      <c r="A899" s="1">
        <v>43560</v>
      </c>
      <c r="B899" t="s">
        <v>1045</v>
      </c>
      <c r="C899" t="s">
        <v>157</v>
      </c>
      <c r="D899" t="s">
        <v>159</v>
      </c>
      <c r="E899" t="s">
        <v>153</v>
      </c>
      <c r="F899" s="2">
        <v>150</v>
      </c>
    </row>
    <row r="900" spans="1:6">
      <c r="A900" s="1">
        <v>43560</v>
      </c>
      <c r="B900" t="s">
        <v>1046</v>
      </c>
      <c r="C900" t="s">
        <v>157</v>
      </c>
      <c r="D900" t="s">
        <v>120</v>
      </c>
      <c r="E900" t="s">
        <v>153</v>
      </c>
      <c r="F900" s="2">
        <v>90</v>
      </c>
    </row>
    <row r="901" spans="1:6">
      <c r="A901" s="1">
        <v>43560</v>
      </c>
      <c r="B901" t="s">
        <v>1047</v>
      </c>
      <c r="C901" t="s">
        <v>164</v>
      </c>
      <c r="D901" t="s">
        <v>120</v>
      </c>
      <c r="E901" t="s">
        <v>131</v>
      </c>
      <c r="F901" s="2">
        <v>90</v>
      </c>
    </row>
    <row r="902" spans="1:6">
      <c r="A902" s="1">
        <v>43560</v>
      </c>
      <c r="B902" t="s">
        <v>1048</v>
      </c>
      <c r="C902" t="s">
        <v>123</v>
      </c>
      <c r="D902" t="s">
        <v>126</v>
      </c>
      <c r="E902" t="s">
        <v>134</v>
      </c>
      <c r="F902" s="2">
        <v>160</v>
      </c>
    </row>
    <row r="903" spans="1:6">
      <c r="A903" s="1">
        <v>43560</v>
      </c>
      <c r="B903" t="s">
        <v>1049</v>
      </c>
      <c r="C903" t="s">
        <v>123</v>
      </c>
      <c r="D903" t="s">
        <v>126</v>
      </c>
      <c r="E903" t="s">
        <v>121</v>
      </c>
      <c r="F903" s="2">
        <v>160</v>
      </c>
    </row>
    <row r="904" spans="1:6">
      <c r="A904" s="1">
        <v>43560</v>
      </c>
      <c r="B904" t="s">
        <v>1050</v>
      </c>
      <c r="C904" t="s">
        <v>167</v>
      </c>
      <c r="D904" t="s">
        <v>133</v>
      </c>
      <c r="E904" t="s">
        <v>131</v>
      </c>
      <c r="F904" s="2">
        <v>30</v>
      </c>
    </row>
    <row r="905" spans="1:6">
      <c r="A905" s="1">
        <v>43561</v>
      </c>
      <c r="B905" t="s">
        <v>1051</v>
      </c>
      <c r="C905" t="s">
        <v>129</v>
      </c>
      <c r="D905" t="s">
        <v>139</v>
      </c>
      <c r="E905" t="s">
        <v>131</v>
      </c>
      <c r="F905" s="2">
        <v>80</v>
      </c>
    </row>
    <row r="906" spans="1:6">
      <c r="A906" s="1">
        <v>43561</v>
      </c>
      <c r="B906" t="s">
        <v>1052</v>
      </c>
      <c r="C906" t="s">
        <v>138</v>
      </c>
      <c r="D906" t="s">
        <v>126</v>
      </c>
      <c r="E906" t="s">
        <v>127</v>
      </c>
      <c r="F906" s="2">
        <v>160</v>
      </c>
    </row>
    <row r="907" spans="1:6">
      <c r="A907" s="1">
        <v>43561</v>
      </c>
      <c r="B907" t="s">
        <v>1053</v>
      </c>
      <c r="C907" t="s">
        <v>167</v>
      </c>
      <c r="D907" t="s">
        <v>126</v>
      </c>
      <c r="E907" t="s">
        <v>153</v>
      </c>
      <c r="F907" s="2">
        <v>160</v>
      </c>
    </row>
    <row r="908" spans="1:6">
      <c r="A908" s="1">
        <v>43561</v>
      </c>
      <c r="B908" t="s">
        <v>1054</v>
      </c>
      <c r="C908" t="s">
        <v>119</v>
      </c>
      <c r="D908" t="s">
        <v>120</v>
      </c>
      <c r="E908" t="s">
        <v>134</v>
      </c>
      <c r="F908" s="2">
        <v>90</v>
      </c>
    </row>
    <row r="909" spans="1:6">
      <c r="A909" s="1">
        <v>43561</v>
      </c>
      <c r="B909" t="s">
        <v>1055</v>
      </c>
      <c r="C909" t="s">
        <v>152</v>
      </c>
      <c r="D909" t="s">
        <v>133</v>
      </c>
      <c r="E909" t="s">
        <v>121</v>
      </c>
      <c r="F909" s="2">
        <v>30</v>
      </c>
    </row>
    <row r="910" spans="1:6">
      <c r="A910" s="1">
        <v>43561</v>
      </c>
      <c r="B910" t="s">
        <v>1056</v>
      </c>
      <c r="C910" t="s">
        <v>223</v>
      </c>
      <c r="D910" t="s">
        <v>130</v>
      </c>
      <c r="E910" t="s">
        <v>127</v>
      </c>
      <c r="F910" s="2">
        <v>100</v>
      </c>
    </row>
    <row r="911" spans="1:6">
      <c r="A911" s="1">
        <v>43561</v>
      </c>
      <c r="B911" t="s">
        <v>1057</v>
      </c>
      <c r="C911" t="s">
        <v>148</v>
      </c>
      <c r="D911" t="s">
        <v>159</v>
      </c>
      <c r="E911" t="s">
        <v>127</v>
      </c>
      <c r="F911" s="2">
        <v>150</v>
      </c>
    </row>
    <row r="912" spans="1:6">
      <c r="A912" s="1">
        <v>43561</v>
      </c>
      <c r="B912" t="s">
        <v>1058</v>
      </c>
      <c r="C912" t="s">
        <v>129</v>
      </c>
      <c r="D912" t="s">
        <v>133</v>
      </c>
      <c r="E912" t="s">
        <v>134</v>
      </c>
      <c r="F912" s="2">
        <v>30</v>
      </c>
    </row>
    <row r="913" spans="1:6">
      <c r="A913" s="1">
        <v>43561</v>
      </c>
      <c r="B913" t="s">
        <v>1059</v>
      </c>
      <c r="C913" t="s">
        <v>164</v>
      </c>
      <c r="D913" t="s">
        <v>139</v>
      </c>
      <c r="E913" t="s">
        <v>131</v>
      </c>
      <c r="F913" s="2">
        <v>80</v>
      </c>
    </row>
    <row r="914" spans="1:6">
      <c r="A914" s="1">
        <v>43561</v>
      </c>
      <c r="B914" t="s">
        <v>1060</v>
      </c>
      <c r="C914" t="s">
        <v>182</v>
      </c>
      <c r="D914" t="s">
        <v>130</v>
      </c>
      <c r="E914" t="s">
        <v>153</v>
      </c>
      <c r="F914" s="2">
        <v>100</v>
      </c>
    </row>
    <row r="915" spans="1:6">
      <c r="A915" s="1">
        <v>43561</v>
      </c>
      <c r="B915" t="s">
        <v>1061</v>
      </c>
      <c r="C915" t="s">
        <v>189</v>
      </c>
      <c r="D915" t="s">
        <v>126</v>
      </c>
      <c r="E915" t="s">
        <v>121</v>
      </c>
      <c r="F915" s="2">
        <v>160</v>
      </c>
    </row>
    <row r="916" spans="1:6">
      <c r="A916" s="1">
        <v>43561</v>
      </c>
      <c r="B916" t="s">
        <v>1062</v>
      </c>
      <c r="C916" t="s">
        <v>143</v>
      </c>
      <c r="D916" t="s">
        <v>141</v>
      </c>
      <c r="E916" t="s">
        <v>153</v>
      </c>
      <c r="F916" s="2">
        <v>180</v>
      </c>
    </row>
    <row r="917" spans="1:6">
      <c r="A917" s="1">
        <v>43561</v>
      </c>
      <c r="B917" t="s">
        <v>1063</v>
      </c>
      <c r="C917" t="s">
        <v>182</v>
      </c>
      <c r="D917" t="s">
        <v>120</v>
      </c>
      <c r="E917" t="s">
        <v>127</v>
      </c>
      <c r="F917" s="2">
        <v>90</v>
      </c>
    </row>
    <row r="918" spans="1:6">
      <c r="A918" s="1">
        <v>43561</v>
      </c>
      <c r="B918" t="s">
        <v>1064</v>
      </c>
      <c r="C918" t="s">
        <v>189</v>
      </c>
      <c r="D918" t="s">
        <v>120</v>
      </c>
      <c r="E918" t="s">
        <v>153</v>
      </c>
      <c r="F918" s="2">
        <v>90</v>
      </c>
    </row>
    <row r="919" spans="1:6">
      <c r="A919" s="1">
        <v>43562</v>
      </c>
      <c r="B919" t="s">
        <v>1065</v>
      </c>
      <c r="C919" t="s">
        <v>152</v>
      </c>
      <c r="D919" t="s">
        <v>130</v>
      </c>
      <c r="E919" t="s">
        <v>131</v>
      </c>
      <c r="F919" s="2">
        <v>100</v>
      </c>
    </row>
    <row r="920" spans="1:6">
      <c r="A920" s="1">
        <v>43562</v>
      </c>
      <c r="B920" t="s">
        <v>1066</v>
      </c>
      <c r="C920" t="s">
        <v>136</v>
      </c>
      <c r="D920" t="s">
        <v>159</v>
      </c>
      <c r="E920" t="s">
        <v>121</v>
      </c>
      <c r="F920" s="2">
        <v>150</v>
      </c>
    </row>
    <row r="921" spans="1:6">
      <c r="A921" s="1">
        <v>43562</v>
      </c>
      <c r="B921" t="s">
        <v>1067</v>
      </c>
      <c r="C921" t="s">
        <v>138</v>
      </c>
      <c r="D921" t="s">
        <v>139</v>
      </c>
      <c r="E921" t="s">
        <v>153</v>
      </c>
      <c r="F921" s="2">
        <v>80</v>
      </c>
    </row>
    <row r="922" spans="1:6">
      <c r="A922" s="1">
        <v>43562</v>
      </c>
      <c r="B922" t="s">
        <v>1068</v>
      </c>
      <c r="C922" t="s">
        <v>223</v>
      </c>
      <c r="D922" t="s">
        <v>146</v>
      </c>
      <c r="E922" t="s">
        <v>153</v>
      </c>
      <c r="F922" s="2">
        <v>50</v>
      </c>
    </row>
    <row r="923" spans="1:6">
      <c r="A923" s="1">
        <v>43562</v>
      </c>
      <c r="B923" t="s">
        <v>1069</v>
      </c>
      <c r="C923" t="s">
        <v>145</v>
      </c>
      <c r="D923" t="s">
        <v>139</v>
      </c>
      <c r="E923" t="s">
        <v>131</v>
      </c>
      <c r="F923" s="2">
        <v>80</v>
      </c>
    </row>
    <row r="924" spans="1:6">
      <c r="A924" s="1">
        <v>43562</v>
      </c>
      <c r="B924" t="s">
        <v>1070</v>
      </c>
      <c r="C924" t="s">
        <v>157</v>
      </c>
      <c r="D924" t="s">
        <v>159</v>
      </c>
      <c r="E924" t="s">
        <v>134</v>
      </c>
      <c r="F924" s="2">
        <v>150</v>
      </c>
    </row>
    <row r="925" spans="1:6">
      <c r="A925" s="1">
        <v>43562</v>
      </c>
      <c r="B925" t="s">
        <v>1071</v>
      </c>
      <c r="C925" t="s">
        <v>164</v>
      </c>
      <c r="D925" t="s">
        <v>130</v>
      </c>
      <c r="E925" t="s">
        <v>121</v>
      </c>
      <c r="F925" s="2">
        <v>100</v>
      </c>
    </row>
    <row r="926" spans="1:6">
      <c r="A926" s="1">
        <v>43562</v>
      </c>
      <c r="B926" t="s">
        <v>1072</v>
      </c>
      <c r="C926" t="s">
        <v>152</v>
      </c>
      <c r="D926" t="s">
        <v>159</v>
      </c>
      <c r="E926" t="s">
        <v>127</v>
      </c>
      <c r="F926" s="2">
        <v>150</v>
      </c>
    </row>
    <row r="927" spans="1:6">
      <c r="A927" s="1">
        <v>43563</v>
      </c>
      <c r="B927" t="s">
        <v>1073</v>
      </c>
      <c r="C927" t="s">
        <v>129</v>
      </c>
      <c r="D927" t="s">
        <v>139</v>
      </c>
      <c r="E927" t="s">
        <v>153</v>
      </c>
      <c r="F927" s="2">
        <v>80</v>
      </c>
    </row>
    <row r="928" spans="1:6">
      <c r="A928" s="1">
        <v>43563</v>
      </c>
      <c r="B928" t="s">
        <v>1074</v>
      </c>
      <c r="C928" t="s">
        <v>167</v>
      </c>
      <c r="D928" t="s">
        <v>130</v>
      </c>
      <c r="E928" t="s">
        <v>153</v>
      </c>
      <c r="F928" s="2">
        <v>100</v>
      </c>
    </row>
    <row r="929" spans="1:6">
      <c r="A929" s="1">
        <v>43563</v>
      </c>
      <c r="B929" t="s">
        <v>1075</v>
      </c>
      <c r="C929" t="s">
        <v>152</v>
      </c>
      <c r="D929" t="s">
        <v>159</v>
      </c>
      <c r="E929" t="s">
        <v>127</v>
      </c>
      <c r="F929" s="2">
        <v>150</v>
      </c>
    </row>
    <row r="930" spans="1:6">
      <c r="A930" s="1">
        <v>43563</v>
      </c>
      <c r="B930" t="s">
        <v>1076</v>
      </c>
      <c r="C930" t="s">
        <v>152</v>
      </c>
      <c r="D930" t="s">
        <v>133</v>
      </c>
      <c r="E930" t="s">
        <v>121</v>
      </c>
      <c r="F930" s="2">
        <v>30</v>
      </c>
    </row>
    <row r="931" spans="1:6">
      <c r="A931" s="1">
        <v>43563</v>
      </c>
      <c r="B931" t="s">
        <v>1077</v>
      </c>
      <c r="C931" t="s">
        <v>136</v>
      </c>
      <c r="D931" t="s">
        <v>120</v>
      </c>
      <c r="E931" t="s">
        <v>153</v>
      </c>
      <c r="F931" s="2">
        <v>90</v>
      </c>
    </row>
    <row r="932" spans="1:6">
      <c r="A932" s="1">
        <v>43563</v>
      </c>
      <c r="B932" t="s">
        <v>1078</v>
      </c>
      <c r="C932" t="s">
        <v>125</v>
      </c>
      <c r="D932" t="s">
        <v>120</v>
      </c>
      <c r="E932" t="s">
        <v>131</v>
      </c>
      <c r="F932" s="2">
        <v>90</v>
      </c>
    </row>
    <row r="933" spans="1:6">
      <c r="A933" s="1">
        <v>43564</v>
      </c>
      <c r="B933" t="s">
        <v>1079</v>
      </c>
      <c r="C933" t="s">
        <v>136</v>
      </c>
      <c r="D933" t="s">
        <v>139</v>
      </c>
      <c r="E933" t="s">
        <v>131</v>
      </c>
      <c r="F933" s="2">
        <v>80</v>
      </c>
    </row>
    <row r="934" spans="1:6">
      <c r="A934" s="1">
        <v>43564</v>
      </c>
      <c r="B934" t="s">
        <v>1080</v>
      </c>
      <c r="C934" t="s">
        <v>182</v>
      </c>
      <c r="D934" t="s">
        <v>120</v>
      </c>
      <c r="E934" t="s">
        <v>127</v>
      </c>
      <c r="F934" s="2">
        <v>90</v>
      </c>
    </row>
    <row r="935" spans="1:6">
      <c r="A935" s="1">
        <v>43564</v>
      </c>
      <c r="B935" t="s">
        <v>1081</v>
      </c>
      <c r="C935" t="s">
        <v>187</v>
      </c>
      <c r="D935" t="s">
        <v>130</v>
      </c>
      <c r="E935" t="s">
        <v>121</v>
      </c>
      <c r="F935" s="2">
        <v>100</v>
      </c>
    </row>
    <row r="936" spans="1:6">
      <c r="A936" s="1">
        <v>43564</v>
      </c>
      <c r="B936" t="s">
        <v>1082</v>
      </c>
      <c r="C936" t="s">
        <v>119</v>
      </c>
      <c r="D936" t="s">
        <v>126</v>
      </c>
      <c r="E936" t="s">
        <v>121</v>
      </c>
      <c r="F936" s="2">
        <v>160</v>
      </c>
    </row>
    <row r="937" spans="1:6">
      <c r="A937" s="1">
        <v>43564</v>
      </c>
      <c r="B937" t="s">
        <v>1083</v>
      </c>
      <c r="C937" t="s">
        <v>152</v>
      </c>
      <c r="D937" t="s">
        <v>130</v>
      </c>
      <c r="E937" t="s">
        <v>121</v>
      </c>
      <c r="F937" s="2">
        <v>100</v>
      </c>
    </row>
    <row r="938" spans="1:6">
      <c r="A938" s="1">
        <v>43564</v>
      </c>
      <c r="B938" t="s">
        <v>1084</v>
      </c>
      <c r="C938" t="s">
        <v>189</v>
      </c>
      <c r="D938" t="s">
        <v>130</v>
      </c>
      <c r="E938" t="s">
        <v>134</v>
      </c>
      <c r="F938" s="2">
        <v>100</v>
      </c>
    </row>
    <row r="939" spans="1:6">
      <c r="A939" s="1">
        <v>43564</v>
      </c>
      <c r="B939" t="s">
        <v>1085</v>
      </c>
      <c r="C939" t="s">
        <v>157</v>
      </c>
      <c r="D939" t="s">
        <v>133</v>
      </c>
      <c r="E939" t="s">
        <v>134</v>
      </c>
      <c r="F939" s="2">
        <v>30</v>
      </c>
    </row>
    <row r="940" spans="1:6">
      <c r="A940" s="1">
        <v>43564</v>
      </c>
      <c r="B940" t="s">
        <v>1086</v>
      </c>
      <c r="C940" t="s">
        <v>145</v>
      </c>
      <c r="D940" t="s">
        <v>146</v>
      </c>
      <c r="E940" t="s">
        <v>121</v>
      </c>
      <c r="F940" s="2">
        <v>50</v>
      </c>
    </row>
    <row r="941" spans="1:6">
      <c r="A941" s="1">
        <v>43565</v>
      </c>
      <c r="B941" t="s">
        <v>1087</v>
      </c>
      <c r="C941" t="s">
        <v>123</v>
      </c>
      <c r="D941" t="s">
        <v>159</v>
      </c>
      <c r="E941" t="s">
        <v>134</v>
      </c>
      <c r="F941" s="2">
        <v>150</v>
      </c>
    </row>
    <row r="942" spans="1:6">
      <c r="A942" s="1">
        <v>43565</v>
      </c>
      <c r="B942" t="s">
        <v>1088</v>
      </c>
      <c r="C942" t="s">
        <v>182</v>
      </c>
      <c r="D942" t="s">
        <v>126</v>
      </c>
      <c r="E942" t="s">
        <v>121</v>
      </c>
      <c r="F942" s="2">
        <v>160</v>
      </c>
    </row>
    <row r="943" spans="1:6">
      <c r="A943" s="1">
        <v>43565</v>
      </c>
      <c r="B943" t="s">
        <v>1089</v>
      </c>
      <c r="C943" t="s">
        <v>125</v>
      </c>
      <c r="D943" t="s">
        <v>133</v>
      </c>
      <c r="E943" t="s">
        <v>131</v>
      </c>
      <c r="F943" s="2">
        <v>30</v>
      </c>
    </row>
    <row r="944" spans="1:6">
      <c r="A944" s="1">
        <v>43565</v>
      </c>
      <c r="B944" t="s">
        <v>1090</v>
      </c>
      <c r="C944" t="s">
        <v>223</v>
      </c>
      <c r="D944" t="s">
        <v>120</v>
      </c>
      <c r="E944" t="s">
        <v>134</v>
      </c>
      <c r="F944" s="2">
        <v>90</v>
      </c>
    </row>
    <row r="945" spans="1:6">
      <c r="A945" s="1">
        <v>43565</v>
      </c>
      <c r="B945" t="s">
        <v>1091</v>
      </c>
      <c r="C945" t="s">
        <v>223</v>
      </c>
      <c r="D945" t="s">
        <v>126</v>
      </c>
      <c r="E945" t="s">
        <v>127</v>
      </c>
      <c r="F945" s="2">
        <v>160</v>
      </c>
    </row>
    <row r="946" spans="1:6">
      <c r="A946" s="1">
        <v>43565</v>
      </c>
      <c r="B946" t="s">
        <v>1092</v>
      </c>
      <c r="C946" t="s">
        <v>189</v>
      </c>
      <c r="D946" t="s">
        <v>126</v>
      </c>
      <c r="E946" t="s">
        <v>121</v>
      </c>
      <c r="F946" s="2">
        <v>160</v>
      </c>
    </row>
    <row r="947" spans="1:6">
      <c r="A947" s="1">
        <v>43565</v>
      </c>
      <c r="B947" t="s">
        <v>1093</v>
      </c>
      <c r="C947" t="s">
        <v>152</v>
      </c>
      <c r="D947" t="s">
        <v>133</v>
      </c>
      <c r="E947" t="s">
        <v>134</v>
      </c>
      <c r="F947" s="2">
        <v>30</v>
      </c>
    </row>
    <row r="948" spans="1:6">
      <c r="A948" s="1">
        <v>43565</v>
      </c>
      <c r="B948" t="s">
        <v>1094</v>
      </c>
      <c r="C948" t="s">
        <v>125</v>
      </c>
      <c r="D948" t="s">
        <v>133</v>
      </c>
      <c r="E948" t="s">
        <v>121</v>
      </c>
      <c r="F948" s="2">
        <v>30</v>
      </c>
    </row>
    <row r="949" spans="1:6">
      <c r="A949" s="1">
        <v>43566</v>
      </c>
      <c r="B949" t="s">
        <v>1095</v>
      </c>
      <c r="C949" t="s">
        <v>136</v>
      </c>
      <c r="D949" t="s">
        <v>141</v>
      </c>
      <c r="E949" t="s">
        <v>131</v>
      </c>
      <c r="F949" s="2">
        <v>180</v>
      </c>
    </row>
    <row r="950" spans="1:6">
      <c r="A950" s="1">
        <v>43566</v>
      </c>
      <c r="B950" t="s">
        <v>1096</v>
      </c>
      <c r="C950" t="s">
        <v>157</v>
      </c>
      <c r="D950" t="s">
        <v>126</v>
      </c>
      <c r="E950" t="s">
        <v>131</v>
      </c>
      <c r="F950" s="2">
        <v>160</v>
      </c>
    </row>
    <row r="951" spans="1:6">
      <c r="A951" s="1">
        <v>43566</v>
      </c>
      <c r="B951" t="s">
        <v>1097</v>
      </c>
      <c r="C951" t="s">
        <v>119</v>
      </c>
      <c r="D951" t="s">
        <v>120</v>
      </c>
      <c r="E951" t="s">
        <v>131</v>
      </c>
      <c r="F951" s="2">
        <v>90</v>
      </c>
    </row>
    <row r="952" spans="1:6">
      <c r="A952" s="1">
        <v>43566</v>
      </c>
      <c r="B952" t="s">
        <v>1098</v>
      </c>
      <c r="C952" t="s">
        <v>123</v>
      </c>
      <c r="D952" t="s">
        <v>126</v>
      </c>
      <c r="E952" t="s">
        <v>131</v>
      </c>
      <c r="F952" s="2">
        <v>160</v>
      </c>
    </row>
    <row r="953" spans="1:6">
      <c r="A953" s="1">
        <v>43566</v>
      </c>
      <c r="B953" t="s">
        <v>1099</v>
      </c>
      <c r="C953" t="s">
        <v>167</v>
      </c>
      <c r="D953" t="s">
        <v>146</v>
      </c>
      <c r="E953" t="s">
        <v>127</v>
      </c>
      <c r="F953" s="2">
        <v>50</v>
      </c>
    </row>
    <row r="954" spans="1:6">
      <c r="A954" s="1">
        <v>43566</v>
      </c>
      <c r="B954" t="s">
        <v>1100</v>
      </c>
      <c r="C954" t="s">
        <v>223</v>
      </c>
      <c r="D954" t="s">
        <v>141</v>
      </c>
      <c r="E954" t="s">
        <v>121</v>
      </c>
      <c r="F954" s="2">
        <v>180</v>
      </c>
    </row>
    <row r="955" spans="1:6">
      <c r="A955" s="1">
        <v>43567</v>
      </c>
      <c r="B955" t="s">
        <v>1101</v>
      </c>
      <c r="C955" t="s">
        <v>123</v>
      </c>
      <c r="D955" t="s">
        <v>130</v>
      </c>
      <c r="E955" t="s">
        <v>127</v>
      </c>
      <c r="F955" s="2">
        <v>100</v>
      </c>
    </row>
    <row r="956" spans="1:6">
      <c r="A956" s="1">
        <v>43567</v>
      </c>
      <c r="B956" t="s">
        <v>1102</v>
      </c>
      <c r="C956" t="s">
        <v>223</v>
      </c>
      <c r="D956" t="s">
        <v>141</v>
      </c>
      <c r="E956" t="s">
        <v>134</v>
      </c>
      <c r="F956" s="2">
        <v>180</v>
      </c>
    </row>
    <row r="957" spans="1:6">
      <c r="A957" s="1">
        <v>43567</v>
      </c>
      <c r="B957" t="s">
        <v>1103</v>
      </c>
      <c r="C957" t="s">
        <v>138</v>
      </c>
      <c r="D957" t="s">
        <v>159</v>
      </c>
      <c r="E957" t="s">
        <v>131</v>
      </c>
      <c r="F957" s="2">
        <v>150</v>
      </c>
    </row>
    <row r="958" spans="1:6">
      <c r="A958" s="1">
        <v>43567</v>
      </c>
      <c r="B958" t="s">
        <v>1104</v>
      </c>
      <c r="C958" t="s">
        <v>223</v>
      </c>
      <c r="D958" t="s">
        <v>126</v>
      </c>
      <c r="E958" t="s">
        <v>134</v>
      </c>
      <c r="F958" s="2">
        <v>160</v>
      </c>
    </row>
    <row r="959" spans="1:6">
      <c r="A959" s="1">
        <v>43567</v>
      </c>
      <c r="B959" t="s">
        <v>1105</v>
      </c>
      <c r="C959" t="s">
        <v>189</v>
      </c>
      <c r="D959" t="s">
        <v>126</v>
      </c>
      <c r="E959" t="s">
        <v>121</v>
      </c>
      <c r="F959" s="2">
        <v>160</v>
      </c>
    </row>
    <row r="960" spans="1:6">
      <c r="A960" s="1">
        <v>43567</v>
      </c>
      <c r="B960" t="s">
        <v>1106</v>
      </c>
      <c r="C960" t="s">
        <v>119</v>
      </c>
      <c r="D960" t="s">
        <v>141</v>
      </c>
      <c r="E960" t="s">
        <v>127</v>
      </c>
      <c r="F960" s="2">
        <v>180</v>
      </c>
    </row>
    <row r="961" spans="1:6">
      <c r="A961" s="1">
        <v>43567</v>
      </c>
      <c r="B961" t="s">
        <v>1107</v>
      </c>
      <c r="C961" t="s">
        <v>129</v>
      </c>
      <c r="D961" t="s">
        <v>130</v>
      </c>
      <c r="E961" t="s">
        <v>131</v>
      </c>
      <c r="F961" s="2">
        <v>100</v>
      </c>
    </row>
    <row r="962" spans="1:6">
      <c r="A962" s="1">
        <v>43567</v>
      </c>
      <c r="B962" t="s">
        <v>1108</v>
      </c>
      <c r="C962" t="s">
        <v>129</v>
      </c>
      <c r="D962" t="s">
        <v>146</v>
      </c>
      <c r="E962" t="s">
        <v>153</v>
      </c>
      <c r="F962" s="2">
        <v>50</v>
      </c>
    </row>
    <row r="963" spans="1:6">
      <c r="A963" s="1">
        <v>43568</v>
      </c>
      <c r="B963" t="s">
        <v>1109</v>
      </c>
      <c r="C963" t="s">
        <v>187</v>
      </c>
      <c r="D963" t="s">
        <v>133</v>
      </c>
      <c r="E963" t="s">
        <v>134</v>
      </c>
      <c r="F963" s="2">
        <v>30</v>
      </c>
    </row>
    <row r="964" spans="1:6">
      <c r="A964" s="1">
        <v>43568</v>
      </c>
      <c r="B964" t="s">
        <v>1110</v>
      </c>
      <c r="C964" t="s">
        <v>123</v>
      </c>
      <c r="D964" t="s">
        <v>146</v>
      </c>
      <c r="E964" t="s">
        <v>121</v>
      </c>
      <c r="F964" s="2">
        <v>50</v>
      </c>
    </row>
    <row r="965" spans="1:6">
      <c r="A965" s="1">
        <v>43568</v>
      </c>
      <c r="B965" t="s">
        <v>1111</v>
      </c>
      <c r="C965" t="s">
        <v>145</v>
      </c>
      <c r="D965" t="s">
        <v>146</v>
      </c>
      <c r="E965" t="s">
        <v>131</v>
      </c>
      <c r="F965" s="2">
        <v>50</v>
      </c>
    </row>
    <row r="966" spans="1:6">
      <c r="A966" s="1">
        <v>43568</v>
      </c>
      <c r="B966" t="s">
        <v>1112</v>
      </c>
      <c r="C966" t="s">
        <v>138</v>
      </c>
      <c r="D966" t="s">
        <v>141</v>
      </c>
      <c r="E966" t="s">
        <v>127</v>
      </c>
      <c r="F966" s="2">
        <v>180</v>
      </c>
    </row>
    <row r="967" spans="1:6">
      <c r="A967" s="1">
        <v>43568</v>
      </c>
      <c r="B967" t="s">
        <v>1113</v>
      </c>
      <c r="C967" t="s">
        <v>182</v>
      </c>
      <c r="D967" t="s">
        <v>139</v>
      </c>
      <c r="E967" t="s">
        <v>153</v>
      </c>
      <c r="F967" s="2">
        <v>80</v>
      </c>
    </row>
    <row r="968" spans="1:6">
      <c r="A968" s="1">
        <v>43568</v>
      </c>
      <c r="B968" t="s">
        <v>1114</v>
      </c>
      <c r="C968" t="s">
        <v>123</v>
      </c>
      <c r="D968" t="s">
        <v>159</v>
      </c>
      <c r="E968" t="s">
        <v>127</v>
      </c>
      <c r="F968" s="2">
        <v>150</v>
      </c>
    </row>
    <row r="969" spans="1:6">
      <c r="A969" s="1">
        <v>43568</v>
      </c>
      <c r="B969" t="s">
        <v>1115</v>
      </c>
      <c r="C969" t="s">
        <v>136</v>
      </c>
      <c r="D969" t="s">
        <v>130</v>
      </c>
      <c r="E969" t="s">
        <v>131</v>
      </c>
      <c r="F969" s="2">
        <v>100</v>
      </c>
    </row>
    <row r="970" spans="1:6">
      <c r="A970" s="1">
        <v>43568</v>
      </c>
      <c r="B970" t="s">
        <v>1116</v>
      </c>
      <c r="C970" t="s">
        <v>182</v>
      </c>
      <c r="D970" t="s">
        <v>139</v>
      </c>
      <c r="E970" t="s">
        <v>134</v>
      </c>
      <c r="F970" s="2">
        <v>80</v>
      </c>
    </row>
    <row r="971" spans="1:6">
      <c r="A971" s="1">
        <v>43568</v>
      </c>
      <c r="B971" t="s">
        <v>1117</v>
      </c>
      <c r="C971" t="s">
        <v>148</v>
      </c>
      <c r="D971" t="s">
        <v>159</v>
      </c>
      <c r="E971" t="s">
        <v>121</v>
      </c>
      <c r="F971" s="2">
        <v>150</v>
      </c>
    </row>
    <row r="972" spans="1:6">
      <c r="A972" s="1">
        <v>43568</v>
      </c>
      <c r="B972" t="s">
        <v>1118</v>
      </c>
      <c r="C972" t="s">
        <v>223</v>
      </c>
      <c r="D972" t="s">
        <v>130</v>
      </c>
      <c r="E972" t="s">
        <v>127</v>
      </c>
      <c r="F972" s="2">
        <v>100</v>
      </c>
    </row>
    <row r="973" spans="1:6">
      <c r="A973" s="1">
        <v>43568</v>
      </c>
      <c r="B973" t="s">
        <v>1119</v>
      </c>
      <c r="C973" t="s">
        <v>182</v>
      </c>
      <c r="D973" t="s">
        <v>130</v>
      </c>
      <c r="E973" t="s">
        <v>153</v>
      </c>
      <c r="F973" s="2">
        <v>100</v>
      </c>
    </row>
    <row r="974" spans="1:6">
      <c r="A974" s="1">
        <v>43568</v>
      </c>
      <c r="B974" t="s">
        <v>1120</v>
      </c>
      <c r="C974" t="s">
        <v>145</v>
      </c>
      <c r="D974" t="s">
        <v>130</v>
      </c>
      <c r="E974" t="s">
        <v>127</v>
      </c>
      <c r="F974" s="2">
        <v>100</v>
      </c>
    </row>
    <row r="975" spans="1:6">
      <c r="A975" s="1">
        <v>43568</v>
      </c>
      <c r="B975" t="s">
        <v>1121</v>
      </c>
      <c r="C975" t="s">
        <v>187</v>
      </c>
      <c r="D975" t="s">
        <v>126</v>
      </c>
      <c r="E975" t="s">
        <v>127</v>
      </c>
      <c r="F975" s="2">
        <v>160</v>
      </c>
    </row>
    <row r="976" spans="1:6">
      <c r="A976" s="1">
        <v>43568</v>
      </c>
      <c r="B976" t="s">
        <v>1122</v>
      </c>
      <c r="C976" t="s">
        <v>143</v>
      </c>
      <c r="D976" t="s">
        <v>141</v>
      </c>
      <c r="E976" t="s">
        <v>134</v>
      </c>
      <c r="F976" s="2">
        <v>180</v>
      </c>
    </row>
    <row r="977" spans="1:6">
      <c r="A977" s="1">
        <v>43569</v>
      </c>
      <c r="B977" t="s">
        <v>1123</v>
      </c>
      <c r="C977" t="s">
        <v>148</v>
      </c>
      <c r="D977" t="s">
        <v>126</v>
      </c>
      <c r="E977" t="s">
        <v>131</v>
      </c>
      <c r="F977" s="2">
        <v>160</v>
      </c>
    </row>
    <row r="978" spans="1:6">
      <c r="A978" s="1">
        <v>43569</v>
      </c>
      <c r="B978" t="s">
        <v>1124</v>
      </c>
      <c r="C978" t="s">
        <v>125</v>
      </c>
      <c r="D978" t="s">
        <v>139</v>
      </c>
      <c r="E978" t="s">
        <v>127</v>
      </c>
      <c r="F978" s="2">
        <v>80</v>
      </c>
    </row>
    <row r="979" spans="1:6">
      <c r="A979" s="1">
        <v>43569</v>
      </c>
      <c r="B979" t="s">
        <v>1125</v>
      </c>
      <c r="C979" t="s">
        <v>125</v>
      </c>
      <c r="D979" t="s">
        <v>146</v>
      </c>
      <c r="E979" t="s">
        <v>121</v>
      </c>
      <c r="F979" s="2">
        <v>50</v>
      </c>
    </row>
    <row r="980" spans="1:6">
      <c r="A980" s="1">
        <v>43569</v>
      </c>
      <c r="B980" t="s">
        <v>1126</v>
      </c>
      <c r="C980" t="s">
        <v>164</v>
      </c>
      <c r="D980" t="s">
        <v>133</v>
      </c>
      <c r="E980" t="s">
        <v>153</v>
      </c>
      <c r="F980" s="2">
        <v>30</v>
      </c>
    </row>
    <row r="981" spans="1:6">
      <c r="A981" s="1">
        <v>43569</v>
      </c>
      <c r="B981" t="s">
        <v>1127</v>
      </c>
      <c r="C981" t="s">
        <v>138</v>
      </c>
      <c r="D981" t="s">
        <v>133</v>
      </c>
      <c r="E981" t="s">
        <v>127</v>
      </c>
      <c r="F981" s="2">
        <v>30</v>
      </c>
    </row>
    <row r="982" spans="1:6">
      <c r="A982" s="1">
        <v>43569</v>
      </c>
      <c r="B982" t="s">
        <v>1128</v>
      </c>
      <c r="C982" t="s">
        <v>148</v>
      </c>
      <c r="D982" t="s">
        <v>126</v>
      </c>
      <c r="E982" t="s">
        <v>131</v>
      </c>
      <c r="F982" s="2">
        <v>160</v>
      </c>
    </row>
    <row r="983" spans="1:6">
      <c r="A983" s="1">
        <v>43569</v>
      </c>
      <c r="B983" t="s">
        <v>1129</v>
      </c>
      <c r="C983" t="s">
        <v>182</v>
      </c>
      <c r="D983" t="s">
        <v>133</v>
      </c>
      <c r="E983" t="s">
        <v>121</v>
      </c>
      <c r="F983" s="2">
        <v>30</v>
      </c>
    </row>
    <row r="984" spans="1:6">
      <c r="A984" s="1">
        <v>43569</v>
      </c>
      <c r="B984" t="s">
        <v>1130</v>
      </c>
      <c r="C984" t="s">
        <v>182</v>
      </c>
      <c r="D984" t="s">
        <v>146</v>
      </c>
      <c r="E984" t="s">
        <v>131</v>
      </c>
      <c r="F984" s="2">
        <v>50</v>
      </c>
    </row>
    <row r="985" spans="1:6">
      <c r="A985" s="1">
        <v>43569</v>
      </c>
      <c r="B985" t="s">
        <v>1131</v>
      </c>
      <c r="C985" t="s">
        <v>136</v>
      </c>
      <c r="D985" t="s">
        <v>126</v>
      </c>
      <c r="E985" t="s">
        <v>127</v>
      </c>
      <c r="F985" s="2">
        <v>160</v>
      </c>
    </row>
    <row r="986" spans="1:6">
      <c r="A986" s="1">
        <v>43569</v>
      </c>
      <c r="B986" t="s">
        <v>1132</v>
      </c>
      <c r="C986" t="s">
        <v>143</v>
      </c>
      <c r="D986" t="s">
        <v>130</v>
      </c>
      <c r="E986" t="s">
        <v>121</v>
      </c>
      <c r="F986" s="2">
        <v>100</v>
      </c>
    </row>
    <row r="987" spans="1:6">
      <c r="A987" s="1">
        <v>43569</v>
      </c>
      <c r="B987" t="s">
        <v>1133</v>
      </c>
      <c r="C987" t="s">
        <v>125</v>
      </c>
      <c r="D987" t="s">
        <v>159</v>
      </c>
      <c r="E987" t="s">
        <v>127</v>
      </c>
      <c r="F987" s="2">
        <v>150</v>
      </c>
    </row>
    <row r="988" spans="1:6">
      <c r="A988" s="1">
        <v>43569</v>
      </c>
      <c r="B988" t="s">
        <v>1134</v>
      </c>
      <c r="C988" t="s">
        <v>187</v>
      </c>
      <c r="D988" t="s">
        <v>130</v>
      </c>
      <c r="E988" t="s">
        <v>121</v>
      </c>
      <c r="F988" s="2">
        <v>100</v>
      </c>
    </row>
    <row r="989" spans="1:6">
      <c r="A989" s="1">
        <v>43570</v>
      </c>
      <c r="B989" t="s">
        <v>1135</v>
      </c>
      <c r="C989" t="s">
        <v>182</v>
      </c>
      <c r="D989" t="s">
        <v>141</v>
      </c>
      <c r="E989" t="s">
        <v>134</v>
      </c>
      <c r="F989" s="2">
        <v>180</v>
      </c>
    </row>
    <row r="990" spans="1:6">
      <c r="A990" s="1">
        <v>43570</v>
      </c>
      <c r="B990" t="s">
        <v>1136</v>
      </c>
      <c r="C990" t="s">
        <v>125</v>
      </c>
      <c r="D990" t="s">
        <v>120</v>
      </c>
      <c r="E990" t="s">
        <v>134</v>
      </c>
      <c r="F990" s="2">
        <v>90</v>
      </c>
    </row>
    <row r="991" spans="1:6">
      <c r="A991" s="1">
        <v>43570</v>
      </c>
      <c r="B991" t="s">
        <v>1137</v>
      </c>
      <c r="C991" t="s">
        <v>123</v>
      </c>
      <c r="D991" t="s">
        <v>159</v>
      </c>
      <c r="E991" t="s">
        <v>127</v>
      </c>
      <c r="F991" s="2">
        <v>150</v>
      </c>
    </row>
    <row r="992" spans="1:6">
      <c r="A992" s="1">
        <v>43570</v>
      </c>
      <c r="B992" t="s">
        <v>1138</v>
      </c>
      <c r="C992" t="s">
        <v>157</v>
      </c>
      <c r="D992" t="s">
        <v>159</v>
      </c>
      <c r="E992" t="s">
        <v>131</v>
      </c>
      <c r="F992" s="2">
        <v>150</v>
      </c>
    </row>
    <row r="993" spans="1:6">
      <c r="A993" s="1">
        <v>43570</v>
      </c>
      <c r="B993" t="s">
        <v>1139</v>
      </c>
      <c r="C993" t="s">
        <v>189</v>
      </c>
      <c r="D993" t="s">
        <v>141</v>
      </c>
      <c r="E993" t="s">
        <v>153</v>
      </c>
      <c r="F993" s="2">
        <v>180</v>
      </c>
    </row>
    <row r="994" spans="1:6">
      <c r="A994" s="1">
        <v>43570</v>
      </c>
      <c r="B994" t="s">
        <v>1140</v>
      </c>
      <c r="C994" t="s">
        <v>143</v>
      </c>
      <c r="D994" t="s">
        <v>141</v>
      </c>
      <c r="E994" t="s">
        <v>121</v>
      </c>
      <c r="F994" s="2">
        <v>180</v>
      </c>
    </row>
    <row r="995" spans="1:6">
      <c r="A995" s="1">
        <v>43570</v>
      </c>
      <c r="B995" t="s">
        <v>1141</v>
      </c>
      <c r="C995" t="s">
        <v>125</v>
      </c>
      <c r="D995" t="s">
        <v>139</v>
      </c>
      <c r="E995" t="s">
        <v>131</v>
      </c>
      <c r="F995" s="2">
        <v>80</v>
      </c>
    </row>
    <row r="996" spans="1:6">
      <c r="A996" s="1">
        <v>43570</v>
      </c>
      <c r="B996" t="s">
        <v>1142</v>
      </c>
      <c r="C996" t="s">
        <v>129</v>
      </c>
      <c r="D996" t="s">
        <v>130</v>
      </c>
      <c r="E996" t="s">
        <v>127</v>
      </c>
      <c r="F996" s="2">
        <v>100</v>
      </c>
    </row>
    <row r="997" spans="1:6">
      <c r="A997" s="1">
        <v>43570</v>
      </c>
      <c r="B997" t="s">
        <v>1143</v>
      </c>
      <c r="C997" t="s">
        <v>182</v>
      </c>
      <c r="D997" t="s">
        <v>130</v>
      </c>
      <c r="E997" t="s">
        <v>121</v>
      </c>
      <c r="F997" s="2">
        <v>100</v>
      </c>
    </row>
    <row r="998" spans="1:6">
      <c r="A998" s="1">
        <v>43570</v>
      </c>
      <c r="B998" t="s">
        <v>1144</v>
      </c>
      <c r="C998" t="s">
        <v>123</v>
      </c>
      <c r="D998" t="s">
        <v>159</v>
      </c>
      <c r="E998" t="s">
        <v>153</v>
      </c>
      <c r="F998" s="2">
        <v>150</v>
      </c>
    </row>
    <row r="999" spans="1:6">
      <c r="A999" s="1">
        <v>43570</v>
      </c>
      <c r="B999" t="s">
        <v>1145</v>
      </c>
      <c r="C999" t="s">
        <v>119</v>
      </c>
      <c r="D999" t="s">
        <v>120</v>
      </c>
      <c r="E999" t="s">
        <v>153</v>
      </c>
      <c r="F999" s="2">
        <v>90</v>
      </c>
    </row>
    <row r="1000" spans="1:6">
      <c r="A1000" s="1">
        <v>43571</v>
      </c>
      <c r="B1000" t="s">
        <v>1146</v>
      </c>
      <c r="C1000" t="s">
        <v>167</v>
      </c>
      <c r="D1000" t="s">
        <v>126</v>
      </c>
      <c r="E1000" t="s">
        <v>121</v>
      </c>
      <c r="F1000" s="2">
        <v>160</v>
      </c>
    </row>
    <row r="1001" spans="1:6">
      <c r="A1001" s="1">
        <v>43571</v>
      </c>
      <c r="B1001" t="s">
        <v>1147</v>
      </c>
      <c r="C1001" t="s">
        <v>182</v>
      </c>
      <c r="D1001" t="s">
        <v>133</v>
      </c>
      <c r="E1001" t="s">
        <v>134</v>
      </c>
      <c r="F1001" s="2">
        <v>30</v>
      </c>
    </row>
    <row r="1002" spans="1:6">
      <c r="A1002" s="1">
        <v>43571</v>
      </c>
      <c r="B1002" t="s">
        <v>1148</v>
      </c>
      <c r="C1002" t="s">
        <v>143</v>
      </c>
      <c r="D1002" t="s">
        <v>126</v>
      </c>
      <c r="E1002" t="s">
        <v>127</v>
      </c>
      <c r="F1002" s="2">
        <v>160</v>
      </c>
    </row>
    <row r="1003" spans="1:6">
      <c r="A1003" s="1">
        <v>43571</v>
      </c>
      <c r="B1003" t="s">
        <v>1149</v>
      </c>
      <c r="C1003" t="s">
        <v>182</v>
      </c>
      <c r="D1003" t="s">
        <v>120</v>
      </c>
      <c r="E1003" t="s">
        <v>153</v>
      </c>
      <c r="F1003" s="2">
        <v>90</v>
      </c>
    </row>
    <row r="1004" spans="1:6">
      <c r="A1004" s="1">
        <v>43571</v>
      </c>
      <c r="B1004" t="s">
        <v>1150</v>
      </c>
      <c r="C1004" t="s">
        <v>164</v>
      </c>
      <c r="D1004" t="s">
        <v>159</v>
      </c>
      <c r="E1004" t="s">
        <v>131</v>
      </c>
      <c r="F1004" s="2">
        <v>150</v>
      </c>
    </row>
    <row r="1005" spans="1:6">
      <c r="A1005" s="1">
        <v>43571</v>
      </c>
      <c r="B1005" t="s">
        <v>1151</v>
      </c>
      <c r="C1005" t="s">
        <v>125</v>
      </c>
      <c r="D1005" t="s">
        <v>141</v>
      </c>
      <c r="E1005" t="s">
        <v>127</v>
      </c>
      <c r="F1005" s="2">
        <v>180</v>
      </c>
    </row>
    <row r="1006" spans="1:6">
      <c r="A1006" s="1">
        <v>43571</v>
      </c>
      <c r="B1006" t="s">
        <v>1152</v>
      </c>
      <c r="C1006" t="s">
        <v>136</v>
      </c>
      <c r="D1006" t="s">
        <v>130</v>
      </c>
      <c r="E1006" t="s">
        <v>153</v>
      </c>
      <c r="F1006" s="2">
        <v>100</v>
      </c>
    </row>
    <row r="1007" spans="1:6">
      <c r="A1007" s="1">
        <v>43571</v>
      </c>
      <c r="B1007" t="s">
        <v>1153</v>
      </c>
      <c r="C1007" t="s">
        <v>125</v>
      </c>
      <c r="D1007" t="s">
        <v>126</v>
      </c>
      <c r="E1007" t="s">
        <v>127</v>
      </c>
      <c r="F1007" s="2">
        <v>160</v>
      </c>
    </row>
    <row r="1008" spans="1:6">
      <c r="A1008" s="1">
        <v>43572</v>
      </c>
      <c r="B1008" t="s">
        <v>1154</v>
      </c>
      <c r="C1008" t="s">
        <v>143</v>
      </c>
      <c r="D1008" t="s">
        <v>130</v>
      </c>
      <c r="E1008" t="s">
        <v>121</v>
      </c>
      <c r="F1008" s="2">
        <v>100</v>
      </c>
    </row>
    <row r="1009" spans="1:6">
      <c r="A1009" s="1">
        <v>43572</v>
      </c>
      <c r="B1009" t="s">
        <v>1155</v>
      </c>
      <c r="C1009" t="s">
        <v>152</v>
      </c>
      <c r="D1009" t="s">
        <v>126</v>
      </c>
      <c r="E1009" t="s">
        <v>134</v>
      </c>
      <c r="F1009" s="2">
        <v>160</v>
      </c>
    </row>
    <row r="1010" spans="1:6">
      <c r="A1010" s="1">
        <v>43572</v>
      </c>
      <c r="B1010" t="s">
        <v>1156</v>
      </c>
      <c r="C1010" t="s">
        <v>187</v>
      </c>
      <c r="D1010" t="s">
        <v>120</v>
      </c>
      <c r="E1010" t="s">
        <v>131</v>
      </c>
      <c r="F1010" s="2">
        <v>90</v>
      </c>
    </row>
    <row r="1011" spans="1:6">
      <c r="A1011" s="1">
        <v>43572</v>
      </c>
      <c r="B1011" t="s">
        <v>1157</v>
      </c>
      <c r="C1011" t="s">
        <v>136</v>
      </c>
      <c r="D1011" t="s">
        <v>141</v>
      </c>
      <c r="E1011" t="s">
        <v>134</v>
      </c>
      <c r="F1011" s="2">
        <v>180</v>
      </c>
    </row>
    <row r="1012" spans="1:6">
      <c r="A1012" s="1">
        <v>43572</v>
      </c>
      <c r="B1012" t="s">
        <v>1158</v>
      </c>
      <c r="C1012" t="s">
        <v>129</v>
      </c>
      <c r="D1012" t="s">
        <v>159</v>
      </c>
      <c r="E1012" t="s">
        <v>127</v>
      </c>
      <c r="F1012" s="2">
        <v>150</v>
      </c>
    </row>
    <row r="1013" spans="1:6">
      <c r="A1013" s="1">
        <v>43572</v>
      </c>
      <c r="B1013" t="s">
        <v>1159</v>
      </c>
      <c r="C1013" t="s">
        <v>123</v>
      </c>
      <c r="D1013" t="s">
        <v>139</v>
      </c>
      <c r="E1013" t="s">
        <v>134</v>
      </c>
      <c r="F1013" s="2">
        <v>80</v>
      </c>
    </row>
    <row r="1014" spans="1:6">
      <c r="A1014" s="1">
        <v>43572</v>
      </c>
      <c r="B1014" t="s">
        <v>1160</v>
      </c>
      <c r="C1014" t="s">
        <v>189</v>
      </c>
      <c r="D1014" t="s">
        <v>159</v>
      </c>
      <c r="E1014" t="s">
        <v>131</v>
      </c>
      <c r="F1014" s="2">
        <v>150</v>
      </c>
    </row>
    <row r="1015" spans="1:6">
      <c r="A1015" s="1">
        <v>43572</v>
      </c>
      <c r="B1015" t="s">
        <v>1161</v>
      </c>
      <c r="C1015" t="s">
        <v>164</v>
      </c>
      <c r="D1015" t="s">
        <v>141</v>
      </c>
      <c r="E1015" t="s">
        <v>127</v>
      </c>
      <c r="F1015" s="2">
        <v>180</v>
      </c>
    </row>
    <row r="1016" spans="1:6">
      <c r="A1016" s="1">
        <v>43572</v>
      </c>
      <c r="B1016" t="s">
        <v>1162</v>
      </c>
      <c r="C1016" t="s">
        <v>152</v>
      </c>
      <c r="D1016" t="s">
        <v>159</v>
      </c>
      <c r="E1016" t="s">
        <v>127</v>
      </c>
      <c r="F1016" s="2">
        <v>150</v>
      </c>
    </row>
    <row r="1017" spans="1:6">
      <c r="A1017" s="1">
        <v>43572</v>
      </c>
      <c r="B1017" t="s">
        <v>1163</v>
      </c>
      <c r="C1017" t="s">
        <v>187</v>
      </c>
      <c r="D1017" t="s">
        <v>159</v>
      </c>
      <c r="E1017" t="s">
        <v>153</v>
      </c>
      <c r="F1017" s="2">
        <v>150</v>
      </c>
    </row>
    <row r="1018" spans="1:6">
      <c r="A1018" s="1">
        <v>43572</v>
      </c>
      <c r="B1018" t="s">
        <v>1164</v>
      </c>
      <c r="C1018" t="s">
        <v>182</v>
      </c>
      <c r="D1018" t="s">
        <v>126</v>
      </c>
      <c r="E1018" t="s">
        <v>153</v>
      </c>
      <c r="F1018" s="2">
        <v>160</v>
      </c>
    </row>
    <row r="1019" spans="1:6">
      <c r="A1019" s="1">
        <v>43573</v>
      </c>
      <c r="B1019" t="s">
        <v>1165</v>
      </c>
      <c r="C1019" t="s">
        <v>125</v>
      </c>
      <c r="D1019" t="s">
        <v>130</v>
      </c>
      <c r="E1019" t="s">
        <v>121</v>
      </c>
      <c r="F1019" s="2">
        <v>100</v>
      </c>
    </row>
    <row r="1020" spans="1:6">
      <c r="A1020" s="1">
        <v>43573</v>
      </c>
      <c r="B1020" t="s">
        <v>1166</v>
      </c>
      <c r="C1020" t="s">
        <v>182</v>
      </c>
      <c r="D1020" t="s">
        <v>120</v>
      </c>
      <c r="E1020" t="s">
        <v>131</v>
      </c>
      <c r="F1020" s="2">
        <v>90</v>
      </c>
    </row>
    <row r="1021" spans="1:6">
      <c r="A1021" s="1">
        <v>43573</v>
      </c>
      <c r="B1021" t="s">
        <v>1167</v>
      </c>
      <c r="C1021" t="s">
        <v>136</v>
      </c>
      <c r="D1021" t="s">
        <v>120</v>
      </c>
      <c r="E1021" t="s">
        <v>134</v>
      </c>
      <c r="F1021" s="2">
        <v>90</v>
      </c>
    </row>
    <row r="1022" spans="1:6">
      <c r="A1022" s="1">
        <v>43573</v>
      </c>
      <c r="B1022" t="s">
        <v>1168</v>
      </c>
      <c r="C1022" t="s">
        <v>167</v>
      </c>
      <c r="D1022" t="s">
        <v>130</v>
      </c>
      <c r="E1022" t="s">
        <v>134</v>
      </c>
      <c r="F1022" s="2">
        <v>100</v>
      </c>
    </row>
    <row r="1023" spans="1:6">
      <c r="A1023" s="1">
        <v>43573</v>
      </c>
      <c r="B1023" t="s">
        <v>1169</v>
      </c>
      <c r="C1023" t="s">
        <v>167</v>
      </c>
      <c r="D1023" t="s">
        <v>126</v>
      </c>
      <c r="E1023" t="s">
        <v>127</v>
      </c>
      <c r="F1023" s="2">
        <v>160</v>
      </c>
    </row>
    <row r="1024" spans="1:6">
      <c r="A1024" s="1">
        <v>43573</v>
      </c>
      <c r="B1024" t="s">
        <v>1170</v>
      </c>
      <c r="C1024" t="s">
        <v>129</v>
      </c>
      <c r="D1024" t="s">
        <v>159</v>
      </c>
      <c r="E1024" t="s">
        <v>153</v>
      </c>
      <c r="F1024" s="2">
        <v>150</v>
      </c>
    </row>
    <row r="1025" spans="1:6">
      <c r="A1025" s="1">
        <v>43573</v>
      </c>
      <c r="B1025" t="s">
        <v>1171</v>
      </c>
      <c r="C1025" t="s">
        <v>136</v>
      </c>
      <c r="D1025" t="s">
        <v>133</v>
      </c>
      <c r="E1025" t="s">
        <v>127</v>
      </c>
      <c r="F1025" s="2">
        <v>30</v>
      </c>
    </row>
    <row r="1026" spans="1:6">
      <c r="A1026" s="1">
        <v>43573</v>
      </c>
      <c r="B1026" t="s">
        <v>1172</v>
      </c>
      <c r="C1026" t="s">
        <v>189</v>
      </c>
      <c r="D1026" t="s">
        <v>126</v>
      </c>
      <c r="E1026" t="s">
        <v>134</v>
      </c>
      <c r="F1026" s="2">
        <v>160</v>
      </c>
    </row>
    <row r="1027" spans="1:6">
      <c r="A1027" s="1">
        <v>43573</v>
      </c>
      <c r="B1027" t="s">
        <v>1173</v>
      </c>
      <c r="C1027" t="s">
        <v>125</v>
      </c>
      <c r="D1027" t="s">
        <v>159</v>
      </c>
      <c r="E1027" t="s">
        <v>121</v>
      </c>
      <c r="F1027" s="2">
        <v>150</v>
      </c>
    </row>
    <row r="1028" spans="1:6">
      <c r="A1028" s="1">
        <v>43573</v>
      </c>
      <c r="B1028" t="s">
        <v>1174</v>
      </c>
      <c r="C1028" t="s">
        <v>167</v>
      </c>
      <c r="D1028" t="s">
        <v>133</v>
      </c>
      <c r="E1028" t="s">
        <v>127</v>
      </c>
      <c r="F1028" s="2">
        <v>30</v>
      </c>
    </row>
    <row r="1029" spans="1:6">
      <c r="A1029" s="1">
        <v>43574</v>
      </c>
      <c r="B1029" t="s">
        <v>1175</v>
      </c>
      <c r="C1029" t="s">
        <v>123</v>
      </c>
      <c r="D1029" t="s">
        <v>126</v>
      </c>
      <c r="E1029" t="s">
        <v>134</v>
      </c>
      <c r="F1029" s="2">
        <v>160</v>
      </c>
    </row>
    <row r="1030" spans="1:6">
      <c r="A1030" s="1">
        <v>43574</v>
      </c>
      <c r="B1030" t="s">
        <v>1176</v>
      </c>
      <c r="C1030" t="s">
        <v>223</v>
      </c>
      <c r="D1030" t="s">
        <v>133</v>
      </c>
      <c r="E1030" t="s">
        <v>121</v>
      </c>
      <c r="F1030" s="2">
        <v>30</v>
      </c>
    </row>
    <row r="1031" spans="1:6">
      <c r="A1031" s="1">
        <v>43574</v>
      </c>
      <c r="B1031" t="s">
        <v>1177</v>
      </c>
      <c r="C1031" t="s">
        <v>125</v>
      </c>
      <c r="D1031" t="s">
        <v>146</v>
      </c>
      <c r="E1031" t="s">
        <v>134</v>
      </c>
      <c r="F1031" s="2">
        <v>50</v>
      </c>
    </row>
    <row r="1032" spans="1:6">
      <c r="A1032" s="1">
        <v>43574</v>
      </c>
      <c r="B1032" t="s">
        <v>1178</v>
      </c>
      <c r="C1032" t="s">
        <v>189</v>
      </c>
      <c r="D1032" t="s">
        <v>130</v>
      </c>
      <c r="E1032" t="s">
        <v>131</v>
      </c>
      <c r="F1032" s="2">
        <v>100</v>
      </c>
    </row>
    <row r="1033" spans="1:6">
      <c r="A1033" s="1">
        <v>43574</v>
      </c>
      <c r="B1033" t="s">
        <v>1179</v>
      </c>
      <c r="C1033" t="s">
        <v>167</v>
      </c>
      <c r="D1033" t="s">
        <v>120</v>
      </c>
      <c r="E1033" t="s">
        <v>127</v>
      </c>
      <c r="F1033" s="2">
        <v>90</v>
      </c>
    </row>
    <row r="1034" spans="1:6">
      <c r="A1034" s="1">
        <v>43574</v>
      </c>
      <c r="B1034" t="s">
        <v>1180</v>
      </c>
      <c r="C1034" t="s">
        <v>138</v>
      </c>
      <c r="D1034" t="s">
        <v>141</v>
      </c>
      <c r="E1034" t="s">
        <v>127</v>
      </c>
      <c r="F1034" s="2">
        <v>180</v>
      </c>
    </row>
    <row r="1035" spans="1:6">
      <c r="A1035" s="1">
        <v>43574</v>
      </c>
      <c r="B1035" t="s">
        <v>1181</v>
      </c>
      <c r="C1035" t="s">
        <v>164</v>
      </c>
      <c r="D1035" t="s">
        <v>130</v>
      </c>
      <c r="E1035" t="s">
        <v>134</v>
      </c>
      <c r="F1035" s="2">
        <v>100</v>
      </c>
    </row>
    <row r="1036" spans="1:6">
      <c r="A1036" s="1">
        <v>43574</v>
      </c>
      <c r="B1036" t="s">
        <v>1182</v>
      </c>
      <c r="C1036" t="s">
        <v>125</v>
      </c>
      <c r="D1036" t="s">
        <v>133</v>
      </c>
      <c r="E1036" t="s">
        <v>153</v>
      </c>
      <c r="F1036" s="2">
        <v>30</v>
      </c>
    </row>
    <row r="1037" spans="1:6">
      <c r="A1037" s="1">
        <v>43575</v>
      </c>
      <c r="B1037" t="s">
        <v>1183</v>
      </c>
      <c r="C1037" t="s">
        <v>148</v>
      </c>
      <c r="D1037" t="s">
        <v>126</v>
      </c>
      <c r="E1037" t="s">
        <v>153</v>
      </c>
      <c r="F1037" s="2">
        <v>160</v>
      </c>
    </row>
    <row r="1038" spans="1:6">
      <c r="A1038" s="1">
        <v>43575</v>
      </c>
      <c r="B1038" t="s">
        <v>1184</v>
      </c>
      <c r="C1038" t="s">
        <v>223</v>
      </c>
      <c r="D1038" t="s">
        <v>130</v>
      </c>
      <c r="E1038" t="s">
        <v>127</v>
      </c>
      <c r="F1038" s="2">
        <v>100</v>
      </c>
    </row>
    <row r="1039" spans="1:6">
      <c r="A1039" s="1">
        <v>43575</v>
      </c>
      <c r="B1039" t="s">
        <v>1185</v>
      </c>
      <c r="C1039" t="s">
        <v>189</v>
      </c>
      <c r="D1039" t="s">
        <v>130</v>
      </c>
      <c r="E1039" t="s">
        <v>131</v>
      </c>
      <c r="F1039" s="2">
        <v>100</v>
      </c>
    </row>
    <row r="1040" spans="1:6">
      <c r="A1040" s="1">
        <v>43575</v>
      </c>
      <c r="B1040" t="s">
        <v>1186</v>
      </c>
      <c r="C1040" t="s">
        <v>123</v>
      </c>
      <c r="D1040" t="s">
        <v>146</v>
      </c>
      <c r="E1040" t="s">
        <v>153</v>
      </c>
      <c r="F1040" s="2">
        <v>50</v>
      </c>
    </row>
    <row r="1041" spans="1:6">
      <c r="A1041" s="1">
        <v>43575</v>
      </c>
      <c r="B1041" t="s">
        <v>1187</v>
      </c>
      <c r="C1041" t="s">
        <v>136</v>
      </c>
      <c r="D1041" t="s">
        <v>146</v>
      </c>
      <c r="E1041" t="s">
        <v>127</v>
      </c>
      <c r="F1041" s="2">
        <v>50</v>
      </c>
    </row>
    <row r="1042" spans="1:6">
      <c r="A1042" s="1">
        <v>43575</v>
      </c>
      <c r="B1042" t="s">
        <v>1188</v>
      </c>
      <c r="C1042" t="s">
        <v>143</v>
      </c>
      <c r="D1042" t="s">
        <v>139</v>
      </c>
      <c r="E1042" t="s">
        <v>121</v>
      </c>
      <c r="F1042" s="2">
        <v>80</v>
      </c>
    </row>
    <row r="1043" spans="1:6">
      <c r="A1043" s="1">
        <v>43575</v>
      </c>
      <c r="B1043" t="s">
        <v>1189</v>
      </c>
      <c r="C1043" t="s">
        <v>129</v>
      </c>
      <c r="D1043" t="s">
        <v>141</v>
      </c>
      <c r="E1043" t="s">
        <v>153</v>
      </c>
      <c r="F1043" s="2">
        <v>180</v>
      </c>
    </row>
    <row r="1044" spans="1:6">
      <c r="A1044" s="1">
        <v>43575</v>
      </c>
      <c r="B1044" t="s">
        <v>1190</v>
      </c>
      <c r="C1044" t="s">
        <v>129</v>
      </c>
      <c r="D1044" t="s">
        <v>146</v>
      </c>
      <c r="E1044" t="s">
        <v>131</v>
      </c>
      <c r="F1044" s="2">
        <v>50</v>
      </c>
    </row>
    <row r="1045" spans="1:6">
      <c r="A1045" s="1">
        <v>43575</v>
      </c>
      <c r="B1045" t="s">
        <v>1191</v>
      </c>
      <c r="C1045" t="s">
        <v>182</v>
      </c>
      <c r="D1045" t="s">
        <v>146</v>
      </c>
      <c r="E1045" t="s">
        <v>134</v>
      </c>
      <c r="F1045" s="2">
        <v>50</v>
      </c>
    </row>
    <row r="1046" spans="1:6">
      <c r="A1046" s="1">
        <v>43575</v>
      </c>
      <c r="B1046" t="s">
        <v>1192</v>
      </c>
      <c r="C1046" t="s">
        <v>157</v>
      </c>
      <c r="D1046" t="s">
        <v>133</v>
      </c>
      <c r="E1046" t="s">
        <v>121</v>
      </c>
      <c r="F1046" s="2">
        <v>30</v>
      </c>
    </row>
    <row r="1047" spans="1:6">
      <c r="A1047" s="1">
        <v>43576</v>
      </c>
      <c r="B1047" t="s">
        <v>1193</v>
      </c>
      <c r="C1047" t="s">
        <v>157</v>
      </c>
      <c r="D1047" t="s">
        <v>159</v>
      </c>
      <c r="E1047" t="s">
        <v>131</v>
      </c>
      <c r="F1047" s="2">
        <v>150</v>
      </c>
    </row>
    <row r="1048" spans="1:6">
      <c r="A1048" s="1">
        <v>43576</v>
      </c>
      <c r="B1048" t="s">
        <v>1194</v>
      </c>
      <c r="C1048" t="s">
        <v>187</v>
      </c>
      <c r="D1048" t="s">
        <v>141</v>
      </c>
      <c r="E1048" t="s">
        <v>153</v>
      </c>
      <c r="F1048" s="2">
        <v>180</v>
      </c>
    </row>
    <row r="1049" spans="1:6">
      <c r="A1049" s="1">
        <v>43576</v>
      </c>
      <c r="B1049" t="s">
        <v>1195</v>
      </c>
      <c r="C1049" t="s">
        <v>223</v>
      </c>
      <c r="D1049" t="s">
        <v>133</v>
      </c>
      <c r="E1049" t="s">
        <v>131</v>
      </c>
      <c r="F1049" s="2">
        <v>30</v>
      </c>
    </row>
    <row r="1050" spans="1:6">
      <c r="A1050" s="1">
        <v>43576</v>
      </c>
      <c r="B1050" t="s">
        <v>1196</v>
      </c>
      <c r="C1050" t="s">
        <v>138</v>
      </c>
      <c r="D1050" t="s">
        <v>133</v>
      </c>
      <c r="E1050" t="s">
        <v>131</v>
      </c>
      <c r="F1050" s="2">
        <v>30</v>
      </c>
    </row>
    <row r="1051" spans="1:6">
      <c r="A1051" s="1">
        <v>43576</v>
      </c>
      <c r="B1051" t="s">
        <v>1197</v>
      </c>
      <c r="C1051" t="s">
        <v>167</v>
      </c>
      <c r="D1051" t="s">
        <v>146</v>
      </c>
      <c r="E1051" t="s">
        <v>153</v>
      </c>
      <c r="F1051" s="2">
        <v>50</v>
      </c>
    </row>
    <row r="1052" spans="1:6">
      <c r="A1052" s="1">
        <v>43576</v>
      </c>
      <c r="B1052" t="s">
        <v>1198</v>
      </c>
      <c r="C1052" t="s">
        <v>187</v>
      </c>
      <c r="D1052" t="s">
        <v>159</v>
      </c>
      <c r="E1052" t="s">
        <v>121</v>
      </c>
      <c r="F1052" s="2">
        <v>150</v>
      </c>
    </row>
    <row r="1053" spans="1:6">
      <c r="A1053" s="1">
        <v>43577</v>
      </c>
      <c r="B1053" t="s">
        <v>1199</v>
      </c>
      <c r="C1053" t="s">
        <v>157</v>
      </c>
      <c r="D1053" t="s">
        <v>126</v>
      </c>
      <c r="E1053" t="s">
        <v>153</v>
      </c>
      <c r="F1053" s="2">
        <v>160</v>
      </c>
    </row>
    <row r="1054" spans="1:6">
      <c r="A1054" s="1">
        <v>43577</v>
      </c>
      <c r="B1054" t="s">
        <v>1200</v>
      </c>
      <c r="C1054" t="s">
        <v>125</v>
      </c>
      <c r="D1054" t="s">
        <v>159</v>
      </c>
      <c r="E1054" t="s">
        <v>131</v>
      </c>
      <c r="F1054" s="2">
        <v>150</v>
      </c>
    </row>
    <row r="1055" spans="1:6">
      <c r="A1055" s="1">
        <v>43577</v>
      </c>
      <c r="B1055" t="s">
        <v>1201</v>
      </c>
      <c r="C1055" t="s">
        <v>189</v>
      </c>
      <c r="D1055" t="s">
        <v>139</v>
      </c>
      <c r="E1055" t="s">
        <v>127</v>
      </c>
      <c r="F1055" s="2">
        <v>80</v>
      </c>
    </row>
    <row r="1056" spans="1:6">
      <c r="A1056" s="1">
        <v>43577</v>
      </c>
      <c r="B1056" t="s">
        <v>1202</v>
      </c>
      <c r="C1056" t="s">
        <v>129</v>
      </c>
      <c r="D1056" t="s">
        <v>141</v>
      </c>
      <c r="E1056" t="s">
        <v>127</v>
      </c>
      <c r="F1056" s="2">
        <v>180</v>
      </c>
    </row>
    <row r="1057" spans="1:6">
      <c r="A1057" s="1">
        <v>43577</v>
      </c>
      <c r="B1057" t="s">
        <v>1203</v>
      </c>
      <c r="C1057" t="s">
        <v>119</v>
      </c>
      <c r="D1057" t="s">
        <v>159</v>
      </c>
      <c r="E1057" t="s">
        <v>121</v>
      </c>
      <c r="F1057" s="2">
        <v>150</v>
      </c>
    </row>
    <row r="1058" spans="1:6">
      <c r="A1058" s="1">
        <v>43577</v>
      </c>
      <c r="B1058" t="s">
        <v>1204</v>
      </c>
      <c r="C1058" t="s">
        <v>129</v>
      </c>
      <c r="D1058" t="s">
        <v>130</v>
      </c>
      <c r="E1058" t="s">
        <v>121</v>
      </c>
      <c r="F1058" s="2">
        <v>100</v>
      </c>
    </row>
    <row r="1059" spans="1:6">
      <c r="A1059" s="1">
        <v>43577</v>
      </c>
      <c r="B1059" t="s">
        <v>1205</v>
      </c>
      <c r="C1059" t="s">
        <v>136</v>
      </c>
      <c r="D1059" t="s">
        <v>133</v>
      </c>
      <c r="E1059" t="s">
        <v>121</v>
      </c>
      <c r="F1059" s="2">
        <v>30</v>
      </c>
    </row>
    <row r="1060" spans="1:6">
      <c r="A1060" s="1">
        <v>43577</v>
      </c>
      <c r="B1060" t="s">
        <v>1206</v>
      </c>
      <c r="C1060" t="s">
        <v>119</v>
      </c>
      <c r="D1060" t="s">
        <v>130</v>
      </c>
      <c r="E1060" t="s">
        <v>127</v>
      </c>
      <c r="F1060" s="2">
        <v>100</v>
      </c>
    </row>
    <row r="1061" spans="1:6">
      <c r="A1061" s="1">
        <v>43577</v>
      </c>
      <c r="B1061" t="s">
        <v>1207</v>
      </c>
      <c r="C1061" t="s">
        <v>152</v>
      </c>
      <c r="D1061" t="s">
        <v>133</v>
      </c>
      <c r="E1061" t="s">
        <v>134</v>
      </c>
      <c r="F1061" s="2">
        <v>30</v>
      </c>
    </row>
    <row r="1062" spans="1:6">
      <c r="A1062" s="1">
        <v>43578</v>
      </c>
      <c r="B1062" t="s">
        <v>1208</v>
      </c>
      <c r="C1062" t="s">
        <v>119</v>
      </c>
      <c r="D1062" t="s">
        <v>139</v>
      </c>
      <c r="E1062" t="s">
        <v>134</v>
      </c>
      <c r="F1062" s="2">
        <v>80</v>
      </c>
    </row>
    <row r="1063" spans="1:6">
      <c r="A1063" s="1">
        <v>43578</v>
      </c>
      <c r="B1063" t="s">
        <v>1209</v>
      </c>
      <c r="C1063" t="s">
        <v>182</v>
      </c>
      <c r="D1063" t="s">
        <v>133</v>
      </c>
      <c r="E1063" t="s">
        <v>131</v>
      </c>
      <c r="F1063" s="2">
        <v>30</v>
      </c>
    </row>
    <row r="1064" spans="1:6">
      <c r="A1064" s="1">
        <v>43578</v>
      </c>
      <c r="B1064" t="s">
        <v>1210</v>
      </c>
      <c r="C1064" t="s">
        <v>223</v>
      </c>
      <c r="D1064" t="s">
        <v>133</v>
      </c>
      <c r="E1064" t="s">
        <v>131</v>
      </c>
      <c r="F1064" s="2">
        <v>30</v>
      </c>
    </row>
    <row r="1065" spans="1:6">
      <c r="A1065" s="1">
        <v>43578</v>
      </c>
      <c r="B1065" t="s">
        <v>1211</v>
      </c>
      <c r="C1065" t="s">
        <v>138</v>
      </c>
      <c r="D1065" t="s">
        <v>126</v>
      </c>
      <c r="E1065" t="s">
        <v>134</v>
      </c>
      <c r="F1065" s="2">
        <v>160</v>
      </c>
    </row>
    <row r="1066" spans="1:6">
      <c r="A1066" s="1">
        <v>43578</v>
      </c>
      <c r="B1066" t="s">
        <v>1212</v>
      </c>
      <c r="C1066" t="s">
        <v>167</v>
      </c>
      <c r="D1066" t="s">
        <v>126</v>
      </c>
      <c r="E1066" t="s">
        <v>153</v>
      </c>
      <c r="F1066" s="2">
        <v>160</v>
      </c>
    </row>
    <row r="1067" spans="1:6">
      <c r="A1067" s="1">
        <v>43579</v>
      </c>
      <c r="B1067" t="s">
        <v>1213</v>
      </c>
      <c r="C1067" t="s">
        <v>167</v>
      </c>
      <c r="D1067" t="s">
        <v>146</v>
      </c>
      <c r="E1067" t="s">
        <v>127</v>
      </c>
      <c r="F1067" s="2">
        <v>50</v>
      </c>
    </row>
    <row r="1068" spans="1:6">
      <c r="A1068" s="1">
        <v>43579</v>
      </c>
      <c r="B1068" t="s">
        <v>1214</v>
      </c>
      <c r="C1068" t="s">
        <v>223</v>
      </c>
      <c r="D1068" t="s">
        <v>159</v>
      </c>
      <c r="E1068" t="s">
        <v>127</v>
      </c>
      <c r="F1068" s="2">
        <v>150</v>
      </c>
    </row>
    <row r="1069" spans="1:6">
      <c r="A1069" s="1">
        <v>43579</v>
      </c>
      <c r="B1069" t="s">
        <v>1215</v>
      </c>
      <c r="C1069" t="s">
        <v>125</v>
      </c>
      <c r="D1069" t="s">
        <v>139</v>
      </c>
      <c r="E1069" t="s">
        <v>131</v>
      </c>
      <c r="F1069" s="2">
        <v>80</v>
      </c>
    </row>
    <row r="1070" spans="1:6">
      <c r="A1070" s="1">
        <v>43579</v>
      </c>
      <c r="B1070" t="s">
        <v>1216</v>
      </c>
      <c r="C1070" t="s">
        <v>119</v>
      </c>
      <c r="D1070" t="s">
        <v>130</v>
      </c>
      <c r="E1070" t="s">
        <v>153</v>
      </c>
      <c r="F1070" s="2">
        <v>100</v>
      </c>
    </row>
    <row r="1071" spans="1:6">
      <c r="A1071" s="1">
        <v>43579</v>
      </c>
      <c r="B1071" t="s">
        <v>1217</v>
      </c>
      <c r="C1071" t="s">
        <v>189</v>
      </c>
      <c r="D1071" t="s">
        <v>146</v>
      </c>
      <c r="E1071" t="s">
        <v>153</v>
      </c>
      <c r="F1071" s="2">
        <v>50</v>
      </c>
    </row>
    <row r="1072" spans="1:6">
      <c r="A1072" s="1">
        <v>43579</v>
      </c>
      <c r="B1072" t="s">
        <v>1218</v>
      </c>
      <c r="C1072" t="s">
        <v>182</v>
      </c>
      <c r="D1072" t="s">
        <v>126</v>
      </c>
      <c r="E1072" t="s">
        <v>153</v>
      </c>
      <c r="F1072" s="2">
        <v>160</v>
      </c>
    </row>
    <row r="1073" spans="1:6">
      <c r="A1073" s="1">
        <v>43579</v>
      </c>
      <c r="B1073" t="s">
        <v>1219</v>
      </c>
      <c r="C1073" t="s">
        <v>189</v>
      </c>
      <c r="D1073" t="s">
        <v>120</v>
      </c>
      <c r="E1073" t="s">
        <v>127</v>
      </c>
      <c r="F1073" s="2">
        <v>90</v>
      </c>
    </row>
    <row r="1074" spans="1:6">
      <c r="A1074" s="1">
        <v>43579</v>
      </c>
      <c r="B1074" t="s">
        <v>1220</v>
      </c>
      <c r="C1074" t="s">
        <v>164</v>
      </c>
      <c r="D1074" t="s">
        <v>139</v>
      </c>
      <c r="E1074" t="s">
        <v>127</v>
      </c>
      <c r="F1074" s="2">
        <v>80</v>
      </c>
    </row>
    <row r="1075" spans="1:6">
      <c r="A1075" s="1">
        <v>43579</v>
      </c>
      <c r="B1075" t="s">
        <v>1221</v>
      </c>
      <c r="C1075" t="s">
        <v>148</v>
      </c>
      <c r="D1075" t="s">
        <v>133</v>
      </c>
      <c r="E1075" t="s">
        <v>121</v>
      </c>
      <c r="F1075" s="2">
        <v>30</v>
      </c>
    </row>
    <row r="1076" spans="1:6">
      <c r="A1076" s="1">
        <v>43579</v>
      </c>
      <c r="B1076" t="s">
        <v>1222</v>
      </c>
      <c r="C1076" t="s">
        <v>187</v>
      </c>
      <c r="D1076" t="s">
        <v>126</v>
      </c>
      <c r="E1076" t="s">
        <v>153</v>
      </c>
      <c r="F1076" s="2">
        <v>160</v>
      </c>
    </row>
    <row r="1077" spans="1:6">
      <c r="A1077" s="1">
        <v>43579</v>
      </c>
      <c r="B1077" t="s">
        <v>1223</v>
      </c>
      <c r="C1077" t="s">
        <v>223</v>
      </c>
      <c r="D1077" t="s">
        <v>159</v>
      </c>
      <c r="E1077" t="s">
        <v>131</v>
      </c>
      <c r="F1077" s="2">
        <v>150</v>
      </c>
    </row>
    <row r="1078" spans="1:6">
      <c r="A1078" s="1">
        <v>43579</v>
      </c>
      <c r="B1078" t="s">
        <v>1224</v>
      </c>
      <c r="C1078" t="s">
        <v>223</v>
      </c>
      <c r="D1078" t="s">
        <v>159</v>
      </c>
      <c r="E1078" t="s">
        <v>153</v>
      </c>
      <c r="F1078" s="2">
        <v>150</v>
      </c>
    </row>
    <row r="1079" spans="1:6">
      <c r="A1079" s="1">
        <v>43580</v>
      </c>
      <c r="B1079" t="s">
        <v>1225</v>
      </c>
      <c r="C1079" t="s">
        <v>125</v>
      </c>
      <c r="D1079" t="s">
        <v>141</v>
      </c>
      <c r="E1079" t="s">
        <v>121</v>
      </c>
      <c r="F1079" s="2">
        <v>180</v>
      </c>
    </row>
    <row r="1080" spans="1:6">
      <c r="A1080" s="1">
        <v>43580</v>
      </c>
      <c r="B1080" t="s">
        <v>1226</v>
      </c>
      <c r="C1080" t="s">
        <v>148</v>
      </c>
      <c r="D1080" t="s">
        <v>146</v>
      </c>
      <c r="E1080" t="s">
        <v>153</v>
      </c>
      <c r="F1080" s="2">
        <v>50</v>
      </c>
    </row>
    <row r="1081" spans="1:6">
      <c r="A1081" s="1">
        <v>43580</v>
      </c>
      <c r="B1081" t="s">
        <v>1227</v>
      </c>
      <c r="C1081" t="s">
        <v>136</v>
      </c>
      <c r="D1081" t="s">
        <v>120</v>
      </c>
      <c r="E1081" t="s">
        <v>127</v>
      </c>
      <c r="F1081" s="2">
        <v>90</v>
      </c>
    </row>
    <row r="1082" spans="1:6">
      <c r="A1082" s="1">
        <v>43580</v>
      </c>
      <c r="B1082" t="s">
        <v>1228</v>
      </c>
      <c r="C1082" t="s">
        <v>164</v>
      </c>
      <c r="D1082" t="s">
        <v>159</v>
      </c>
      <c r="E1082" t="s">
        <v>127</v>
      </c>
      <c r="F1082" s="2">
        <v>150</v>
      </c>
    </row>
    <row r="1083" spans="1:6">
      <c r="A1083" s="1">
        <v>43580</v>
      </c>
      <c r="B1083" t="s">
        <v>1229</v>
      </c>
      <c r="C1083" t="s">
        <v>143</v>
      </c>
      <c r="D1083" t="s">
        <v>133</v>
      </c>
      <c r="E1083" t="s">
        <v>121</v>
      </c>
      <c r="F1083" s="2">
        <v>30</v>
      </c>
    </row>
    <row r="1084" spans="1:6">
      <c r="A1084" s="1">
        <v>43580</v>
      </c>
      <c r="B1084" t="s">
        <v>1230</v>
      </c>
      <c r="C1084" t="s">
        <v>145</v>
      </c>
      <c r="D1084" t="s">
        <v>126</v>
      </c>
      <c r="E1084" t="s">
        <v>153</v>
      </c>
      <c r="F1084" s="2">
        <v>160</v>
      </c>
    </row>
    <row r="1085" spans="1:6">
      <c r="A1085" s="1">
        <v>43580</v>
      </c>
      <c r="B1085" t="s">
        <v>1231</v>
      </c>
      <c r="C1085" t="s">
        <v>119</v>
      </c>
      <c r="D1085" t="s">
        <v>139</v>
      </c>
      <c r="E1085" t="s">
        <v>131</v>
      </c>
      <c r="F1085" s="2">
        <v>80</v>
      </c>
    </row>
    <row r="1086" spans="1:6">
      <c r="A1086" s="1">
        <v>43580</v>
      </c>
      <c r="B1086" t="s">
        <v>1232</v>
      </c>
      <c r="C1086" t="s">
        <v>152</v>
      </c>
      <c r="D1086" t="s">
        <v>133</v>
      </c>
      <c r="E1086" t="s">
        <v>153</v>
      </c>
      <c r="F1086" s="2">
        <v>30</v>
      </c>
    </row>
    <row r="1087" spans="1:6">
      <c r="A1087" s="1">
        <v>43580</v>
      </c>
      <c r="B1087" t="s">
        <v>1233</v>
      </c>
      <c r="C1087" t="s">
        <v>148</v>
      </c>
      <c r="D1087" t="s">
        <v>141</v>
      </c>
      <c r="E1087" t="s">
        <v>121</v>
      </c>
      <c r="F1087" s="2">
        <v>180</v>
      </c>
    </row>
    <row r="1088" spans="1:6">
      <c r="A1088" s="1">
        <v>43580</v>
      </c>
      <c r="B1088" t="s">
        <v>1234</v>
      </c>
      <c r="C1088" t="s">
        <v>157</v>
      </c>
      <c r="D1088" t="s">
        <v>133</v>
      </c>
      <c r="E1088" t="s">
        <v>121</v>
      </c>
      <c r="F1088" s="2">
        <v>30</v>
      </c>
    </row>
    <row r="1089" spans="1:6">
      <c r="A1089" s="1">
        <v>43580</v>
      </c>
      <c r="B1089" t="s">
        <v>1235</v>
      </c>
      <c r="C1089" t="s">
        <v>123</v>
      </c>
      <c r="D1089" t="s">
        <v>141</v>
      </c>
      <c r="E1089" t="s">
        <v>127</v>
      </c>
      <c r="F1089" s="2">
        <v>180</v>
      </c>
    </row>
    <row r="1090" spans="1:6">
      <c r="A1090" s="1">
        <v>43580</v>
      </c>
      <c r="B1090" t="s">
        <v>1236</v>
      </c>
      <c r="C1090" t="s">
        <v>164</v>
      </c>
      <c r="D1090" t="s">
        <v>141</v>
      </c>
      <c r="E1090" t="s">
        <v>153</v>
      </c>
      <c r="F1090" s="2">
        <v>180</v>
      </c>
    </row>
    <row r="1091" spans="1:6">
      <c r="A1091" s="1">
        <v>43581</v>
      </c>
      <c r="B1091" t="s">
        <v>1237</v>
      </c>
      <c r="C1091" t="s">
        <v>189</v>
      </c>
      <c r="D1091" t="s">
        <v>139</v>
      </c>
      <c r="E1091" t="s">
        <v>131</v>
      </c>
      <c r="F1091" s="2">
        <v>80</v>
      </c>
    </row>
    <row r="1092" spans="1:6">
      <c r="A1092" s="1">
        <v>43581</v>
      </c>
      <c r="B1092" t="s">
        <v>1238</v>
      </c>
      <c r="C1092" t="s">
        <v>152</v>
      </c>
      <c r="D1092" t="s">
        <v>159</v>
      </c>
      <c r="E1092" t="s">
        <v>153</v>
      </c>
      <c r="F1092" s="2">
        <v>150</v>
      </c>
    </row>
    <row r="1093" spans="1:6">
      <c r="A1093" s="1">
        <v>43581</v>
      </c>
      <c r="B1093" t="s">
        <v>1239</v>
      </c>
      <c r="C1093" t="s">
        <v>182</v>
      </c>
      <c r="D1093" t="s">
        <v>130</v>
      </c>
      <c r="E1093" t="s">
        <v>153</v>
      </c>
      <c r="F1093" s="2">
        <v>100</v>
      </c>
    </row>
    <row r="1094" spans="1:6">
      <c r="A1094" s="1">
        <v>43581</v>
      </c>
      <c r="B1094" t="s">
        <v>1240</v>
      </c>
      <c r="C1094" t="s">
        <v>182</v>
      </c>
      <c r="D1094" t="s">
        <v>126</v>
      </c>
      <c r="E1094" t="s">
        <v>127</v>
      </c>
      <c r="F1094" s="2">
        <v>160</v>
      </c>
    </row>
    <row r="1095" spans="1:6">
      <c r="A1095" s="1">
        <v>43581</v>
      </c>
      <c r="B1095" t="s">
        <v>1241</v>
      </c>
      <c r="C1095" t="s">
        <v>136</v>
      </c>
      <c r="D1095" t="s">
        <v>139</v>
      </c>
      <c r="E1095" t="s">
        <v>134</v>
      </c>
      <c r="F1095" s="2">
        <v>80</v>
      </c>
    </row>
    <row r="1096" spans="1:6">
      <c r="A1096" s="1">
        <v>43581</v>
      </c>
      <c r="B1096" t="s">
        <v>1242</v>
      </c>
      <c r="C1096" t="s">
        <v>182</v>
      </c>
      <c r="D1096" t="s">
        <v>130</v>
      </c>
      <c r="E1096" t="s">
        <v>127</v>
      </c>
      <c r="F1096" s="2">
        <v>100</v>
      </c>
    </row>
    <row r="1097" spans="1:6">
      <c r="A1097" s="1">
        <v>43581</v>
      </c>
      <c r="B1097" t="s">
        <v>1243</v>
      </c>
      <c r="C1097" t="s">
        <v>145</v>
      </c>
      <c r="D1097" t="s">
        <v>120</v>
      </c>
      <c r="E1097" t="s">
        <v>131</v>
      </c>
      <c r="F1097" s="2">
        <v>90</v>
      </c>
    </row>
    <row r="1098" spans="1:6">
      <c r="A1098" s="1">
        <v>43581</v>
      </c>
      <c r="B1098" t="s">
        <v>1244</v>
      </c>
      <c r="C1098" t="s">
        <v>136</v>
      </c>
      <c r="D1098" t="s">
        <v>159</v>
      </c>
      <c r="E1098" t="s">
        <v>121</v>
      </c>
      <c r="F1098" s="2">
        <v>150</v>
      </c>
    </row>
    <row r="1099" spans="1:6">
      <c r="A1099" s="1">
        <v>43581</v>
      </c>
      <c r="B1099" t="s">
        <v>1245</v>
      </c>
      <c r="C1099" t="s">
        <v>148</v>
      </c>
      <c r="D1099" t="s">
        <v>126</v>
      </c>
      <c r="E1099" t="s">
        <v>131</v>
      </c>
      <c r="F1099" s="2">
        <v>160</v>
      </c>
    </row>
    <row r="1100" spans="1:6">
      <c r="A1100" s="1">
        <v>43582</v>
      </c>
      <c r="B1100" t="s">
        <v>1246</v>
      </c>
      <c r="C1100" t="s">
        <v>164</v>
      </c>
      <c r="D1100" t="s">
        <v>141</v>
      </c>
      <c r="E1100" t="s">
        <v>127</v>
      </c>
      <c r="F1100" s="2">
        <v>180</v>
      </c>
    </row>
    <row r="1101" spans="1:6">
      <c r="A1101" s="1">
        <v>43582</v>
      </c>
      <c r="B1101" t="s">
        <v>1247</v>
      </c>
      <c r="C1101" t="s">
        <v>129</v>
      </c>
      <c r="D1101" t="s">
        <v>159</v>
      </c>
      <c r="E1101" t="s">
        <v>134</v>
      </c>
      <c r="F1101" s="2">
        <v>150</v>
      </c>
    </row>
    <row r="1102" spans="1:6">
      <c r="A1102" s="1">
        <v>43582</v>
      </c>
      <c r="B1102" t="s">
        <v>1248</v>
      </c>
      <c r="C1102" t="s">
        <v>152</v>
      </c>
      <c r="D1102" t="s">
        <v>126</v>
      </c>
      <c r="E1102" t="s">
        <v>134</v>
      </c>
      <c r="F1102" s="2">
        <v>160</v>
      </c>
    </row>
    <row r="1103" spans="1:6">
      <c r="A1103" s="1">
        <v>43582</v>
      </c>
      <c r="B1103" t="s">
        <v>1249</v>
      </c>
      <c r="C1103" t="s">
        <v>125</v>
      </c>
      <c r="D1103" t="s">
        <v>146</v>
      </c>
      <c r="E1103" t="s">
        <v>121</v>
      </c>
      <c r="F1103" s="2">
        <v>50</v>
      </c>
    </row>
    <row r="1104" spans="1:6">
      <c r="A1104" s="1">
        <v>43582</v>
      </c>
      <c r="B1104" t="s">
        <v>1250</v>
      </c>
      <c r="C1104" t="s">
        <v>136</v>
      </c>
      <c r="D1104" t="s">
        <v>139</v>
      </c>
      <c r="E1104" t="s">
        <v>153</v>
      </c>
      <c r="F1104" s="2">
        <v>80</v>
      </c>
    </row>
    <row r="1105" spans="1:6">
      <c r="A1105" s="1">
        <v>43582</v>
      </c>
      <c r="B1105" t="s">
        <v>1251</v>
      </c>
      <c r="C1105" t="s">
        <v>187</v>
      </c>
      <c r="D1105" t="s">
        <v>130</v>
      </c>
      <c r="E1105" t="s">
        <v>134</v>
      </c>
      <c r="F1105" s="2">
        <v>100</v>
      </c>
    </row>
    <row r="1106" spans="1:6">
      <c r="A1106" s="1">
        <v>43582</v>
      </c>
      <c r="B1106" t="s">
        <v>1252</v>
      </c>
      <c r="C1106" t="s">
        <v>145</v>
      </c>
      <c r="D1106" t="s">
        <v>130</v>
      </c>
      <c r="E1106" t="s">
        <v>134</v>
      </c>
      <c r="F1106" s="2">
        <v>100</v>
      </c>
    </row>
    <row r="1107" spans="1:6">
      <c r="A1107" s="1">
        <v>43582</v>
      </c>
      <c r="B1107" t="s">
        <v>1253</v>
      </c>
      <c r="C1107" t="s">
        <v>164</v>
      </c>
      <c r="D1107" t="s">
        <v>141</v>
      </c>
      <c r="E1107" t="s">
        <v>153</v>
      </c>
      <c r="F1107" s="2">
        <v>180</v>
      </c>
    </row>
    <row r="1108" spans="1:6">
      <c r="A1108" s="1">
        <v>43583</v>
      </c>
      <c r="B1108" t="s">
        <v>1254</v>
      </c>
      <c r="C1108" t="s">
        <v>145</v>
      </c>
      <c r="D1108" t="s">
        <v>130</v>
      </c>
      <c r="E1108" t="s">
        <v>127</v>
      </c>
      <c r="F1108" s="2">
        <v>100</v>
      </c>
    </row>
    <row r="1109" spans="1:6">
      <c r="A1109" s="1">
        <v>43583</v>
      </c>
      <c r="B1109" t="s">
        <v>1255</v>
      </c>
      <c r="C1109" t="s">
        <v>157</v>
      </c>
      <c r="D1109" t="s">
        <v>139</v>
      </c>
      <c r="E1109" t="s">
        <v>127</v>
      </c>
      <c r="F1109" s="2">
        <v>80</v>
      </c>
    </row>
    <row r="1110" spans="1:6">
      <c r="A1110" s="1">
        <v>43583</v>
      </c>
      <c r="B1110" t="s">
        <v>1256</v>
      </c>
      <c r="C1110" t="s">
        <v>138</v>
      </c>
      <c r="D1110" t="s">
        <v>120</v>
      </c>
      <c r="E1110" t="s">
        <v>134</v>
      </c>
      <c r="F1110" s="2">
        <v>90</v>
      </c>
    </row>
    <row r="1111" spans="1:6">
      <c r="A1111" s="1">
        <v>43583</v>
      </c>
      <c r="B1111" t="s">
        <v>1257</v>
      </c>
      <c r="C1111" t="s">
        <v>167</v>
      </c>
      <c r="D1111" t="s">
        <v>141</v>
      </c>
      <c r="E1111" t="s">
        <v>131</v>
      </c>
      <c r="F1111" s="2">
        <v>180</v>
      </c>
    </row>
    <row r="1112" spans="1:6">
      <c r="A1112" s="1">
        <v>43583</v>
      </c>
      <c r="B1112" t="s">
        <v>1258</v>
      </c>
      <c r="C1112" t="s">
        <v>152</v>
      </c>
      <c r="D1112" t="s">
        <v>146</v>
      </c>
      <c r="E1112" t="s">
        <v>131</v>
      </c>
      <c r="F1112" s="2">
        <v>50</v>
      </c>
    </row>
    <row r="1113" spans="1:6">
      <c r="A1113" s="1">
        <v>43583</v>
      </c>
      <c r="B1113" t="s">
        <v>1259</v>
      </c>
      <c r="C1113" t="s">
        <v>136</v>
      </c>
      <c r="D1113" t="s">
        <v>126</v>
      </c>
      <c r="E1113" t="s">
        <v>127</v>
      </c>
      <c r="F1113" s="2">
        <v>160</v>
      </c>
    </row>
    <row r="1114" spans="1:6">
      <c r="A1114" s="1">
        <v>43583</v>
      </c>
      <c r="B1114" t="s">
        <v>1260</v>
      </c>
      <c r="C1114" t="s">
        <v>189</v>
      </c>
      <c r="D1114" t="s">
        <v>130</v>
      </c>
      <c r="E1114" t="s">
        <v>134</v>
      </c>
      <c r="F1114" s="2">
        <v>100</v>
      </c>
    </row>
    <row r="1115" spans="1:6">
      <c r="A1115" s="1">
        <v>43583</v>
      </c>
      <c r="B1115" t="s">
        <v>1261</v>
      </c>
      <c r="C1115" t="s">
        <v>143</v>
      </c>
      <c r="D1115" t="s">
        <v>141</v>
      </c>
      <c r="E1115" t="s">
        <v>131</v>
      </c>
      <c r="F1115" s="2">
        <v>180</v>
      </c>
    </row>
    <row r="1116" spans="1:6">
      <c r="A1116" s="1">
        <v>43583</v>
      </c>
      <c r="B1116" t="s">
        <v>1262</v>
      </c>
      <c r="C1116" t="s">
        <v>125</v>
      </c>
      <c r="D1116" t="s">
        <v>159</v>
      </c>
      <c r="E1116" t="s">
        <v>121</v>
      </c>
      <c r="F1116" s="2">
        <v>150</v>
      </c>
    </row>
    <row r="1117" spans="1:6">
      <c r="A1117" s="1">
        <v>43583</v>
      </c>
      <c r="B1117" t="s">
        <v>1263</v>
      </c>
      <c r="C1117" t="s">
        <v>187</v>
      </c>
      <c r="D1117" t="s">
        <v>141</v>
      </c>
      <c r="E1117" t="s">
        <v>131</v>
      </c>
      <c r="F1117" s="2">
        <v>180</v>
      </c>
    </row>
    <row r="1118" spans="1:6">
      <c r="A1118" s="1">
        <v>43584</v>
      </c>
      <c r="B1118" t="s">
        <v>1264</v>
      </c>
      <c r="C1118" t="s">
        <v>145</v>
      </c>
      <c r="D1118" t="s">
        <v>139</v>
      </c>
      <c r="E1118" t="s">
        <v>131</v>
      </c>
      <c r="F1118" s="2">
        <v>80</v>
      </c>
    </row>
    <row r="1119" spans="1:6">
      <c r="A1119" s="1">
        <v>43584</v>
      </c>
      <c r="B1119" t="s">
        <v>1265</v>
      </c>
      <c r="C1119" t="s">
        <v>157</v>
      </c>
      <c r="D1119" t="s">
        <v>120</v>
      </c>
      <c r="E1119" t="s">
        <v>127</v>
      </c>
      <c r="F1119" s="2">
        <v>90</v>
      </c>
    </row>
    <row r="1120" spans="1:6">
      <c r="A1120" s="1">
        <v>43584</v>
      </c>
      <c r="B1120" t="s">
        <v>1266</v>
      </c>
      <c r="C1120" t="s">
        <v>167</v>
      </c>
      <c r="D1120" t="s">
        <v>120</v>
      </c>
      <c r="E1120" t="s">
        <v>153</v>
      </c>
      <c r="F1120" s="2">
        <v>90</v>
      </c>
    </row>
    <row r="1121" spans="1:6">
      <c r="A1121" s="1">
        <v>43584</v>
      </c>
      <c r="B1121" t="s">
        <v>1267</v>
      </c>
      <c r="C1121" t="s">
        <v>148</v>
      </c>
      <c r="D1121" t="s">
        <v>133</v>
      </c>
      <c r="E1121" t="s">
        <v>127</v>
      </c>
      <c r="F1121" s="2">
        <v>30</v>
      </c>
    </row>
    <row r="1122" spans="1:6">
      <c r="A1122" s="1">
        <v>43584</v>
      </c>
      <c r="B1122" t="s">
        <v>1268</v>
      </c>
      <c r="C1122" t="s">
        <v>223</v>
      </c>
      <c r="D1122" t="s">
        <v>139</v>
      </c>
      <c r="E1122" t="s">
        <v>153</v>
      </c>
      <c r="F1122" s="2">
        <v>80</v>
      </c>
    </row>
    <row r="1123" spans="1:6">
      <c r="A1123" s="1">
        <v>43584</v>
      </c>
      <c r="B1123" t="s">
        <v>1269</v>
      </c>
      <c r="C1123" t="s">
        <v>148</v>
      </c>
      <c r="D1123" t="s">
        <v>120</v>
      </c>
      <c r="E1123" t="s">
        <v>131</v>
      </c>
      <c r="F1123" s="2">
        <v>90</v>
      </c>
    </row>
    <row r="1124" spans="1:6">
      <c r="A1124" s="1">
        <v>43584</v>
      </c>
      <c r="B1124" t="s">
        <v>1270</v>
      </c>
      <c r="C1124" t="s">
        <v>182</v>
      </c>
      <c r="D1124" t="s">
        <v>120</v>
      </c>
      <c r="E1124" t="s">
        <v>127</v>
      </c>
      <c r="F1124" s="2">
        <v>90</v>
      </c>
    </row>
    <row r="1125" spans="1:6">
      <c r="A1125" s="1">
        <v>43584</v>
      </c>
      <c r="B1125" t="s">
        <v>1271</v>
      </c>
      <c r="C1125" t="s">
        <v>189</v>
      </c>
      <c r="D1125" t="s">
        <v>146</v>
      </c>
      <c r="E1125" t="s">
        <v>134</v>
      </c>
      <c r="F1125" s="2">
        <v>50</v>
      </c>
    </row>
    <row r="1126" spans="1:6">
      <c r="A1126" s="1">
        <v>43585</v>
      </c>
      <c r="B1126" t="s">
        <v>1272</v>
      </c>
      <c r="C1126" t="s">
        <v>119</v>
      </c>
      <c r="D1126" t="s">
        <v>159</v>
      </c>
      <c r="E1126" t="s">
        <v>153</v>
      </c>
      <c r="F1126" s="2">
        <v>150</v>
      </c>
    </row>
    <row r="1127" spans="1:6">
      <c r="A1127" s="1">
        <v>43585</v>
      </c>
      <c r="B1127" t="s">
        <v>1273</v>
      </c>
      <c r="C1127" t="s">
        <v>143</v>
      </c>
      <c r="D1127" t="s">
        <v>139</v>
      </c>
      <c r="E1127" t="s">
        <v>134</v>
      </c>
      <c r="F1127" s="2">
        <v>80</v>
      </c>
    </row>
    <row r="1128" spans="1:6">
      <c r="A1128" s="1">
        <v>43585</v>
      </c>
      <c r="B1128" t="s">
        <v>1274</v>
      </c>
      <c r="C1128" t="s">
        <v>223</v>
      </c>
      <c r="D1128" t="s">
        <v>120</v>
      </c>
      <c r="E1128" t="s">
        <v>134</v>
      </c>
      <c r="F1128" s="2">
        <v>90</v>
      </c>
    </row>
    <row r="1129" spans="1:6">
      <c r="A1129" s="1">
        <v>43585</v>
      </c>
      <c r="B1129" t="s">
        <v>1275</v>
      </c>
      <c r="C1129" t="s">
        <v>119</v>
      </c>
      <c r="D1129" t="s">
        <v>139</v>
      </c>
      <c r="E1129" t="s">
        <v>153</v>
      </c>
      <c r="F1129" s="2">
        <v>80</v>
      </c>
    </row>
    <row r="1130" spans="1:6">
      <c r="A1130" s="1">
        <v>43585</v>
      </c>
      <c r="B1130" t="s">
        <v>1276</v>
      </c>
      <c r="C1130" t="s">
        <v>189</v>
      </c>
      <c r="D1130" t="s">
        <v>159</v>
      </c>
      <c r="E1130" t="s">
        <v>127</v>
      </c>
      <c r="F1130" s="2">
        <v>150</v>
      </c>
    </row>
    <row r="1131" spans="1:6">
      <c r="A1131" s="1">
        <v>43585</v>
      </c>
      <c r="B1131" t="s">
        <v>1277</v>
      </c>
      <c r="C1131" t="s">
        <v>164</v>
      </c>
      <c r="D1131" t="s">
        <v>139</v>
      </c>
      <c r="E1131" t="s">
        <v>153</v>
      </c>
      <c r="F1131" s="2">
        <v>80</v>
      </c>
    </row>
    <row r="1132" spans="1:6">
      <c r="A1132" s="1">
        <v>43585</v>
      </c>
      <c r="B1132" t="s">
        <v>1278</v>
      </c>
      <c r="C1132" t="s">
        <v>148</v>
      </c>
      <c r="D1132" t="s">
        <v>126</v>
      </c>
      <c r="E1132" t="s">
        <v>134</v>
      </c>
      <c r="F1132" s="2">
        <v>160</v>
      </c>
    </row>
    <row r="1133" spans="1:6">
      <c r="A1133" s="1">
        <v>43585</v>
      </c>
      <c r="B1133" t="s">
        <v>1279</v>
      </c>
      <c r="C1133" t="s">
        <v>129</v>
      </c>
      <c r="D1133" t="s">
        <v>126</v>
      </c>
      <c r="E1133" t="s">
        <v>127</v>
      </c>
      <c r="F1133" s="2">
        <v>160</v>
      </c>
    </row>
    <row r="1134" spans="1:6">
      <c r="A1134" s="1">
        <v>43585</v>
      </c>
      <c r="B1134" t="s">
        <v>1280</v>
      </c>
      <c r="C1134" t="s">
        <v>223</v>
      </c>
      <c r="D1134" t="s">
        <v>133</v>
      </c>
      <c r="E1134" t="s">
        <v>131</v>
      </c>
      <c r="F1134" s="2">
        <v>30</v>
      </c>
    </row>
    <row r="1135" spans="1:6">
      <c r="A1135" s="1">
        <v>43586</v>
      </c>
      <c r="B1135" t="s">
        <v>1281</v>
      </c>
      <c r="C1135" t="s">
        <v>143</v>
      </c>
      <c r="D1135" t="s">
        <v>146</v>
      </c>
      <c r="E1135" t="s">
        <v>127</v>
      </c>
      <c r="F1135" s="2">
        <v>50</v>
      </c>
    </row>
    <row r="1136" spans="1:6">
      <c r="A1136" s="1">
        <v>43586</v>
      </c>
      <c r="B1136" t="s">
        <v>1282</v>
      </c>
      <c r="C1136" t="s">
        <v>136</v>
      </c>
      <c r="D1136" t="s">
        <v>130</v>
      </c>
      <c r="E1136" t="s">
        <v>131</v>
      </c>
      <c r="F1136" s="2">
        <v>100</v>
      </c>
    </row>
    <row r="1137" spans="1:6">
      <c r="A1137" s="1">
        <v>43586</v>
      </c>
      <c r="B1137" t="s">
        <v>1283</v>
      </c>
      <c r="C1137" t="s">
        <v>164</v>
      </c>
      <c r="D1137" t="s">
        <v>141</v>
      </c>
      <c r="E1137" t="s">
        <v>127</v>
      </c>
      <c r="F1137" s="2">
        <v>180</v>
      </c>
    </row>
    <row r="1138" spans="1:6">
      <c r="A1138" s="1">
        <v>43586</v>
      </c>
      <c r="B1138" t="s">
        <v>1284</v>
      </c>
      <c r="C1138" t="s">
        <v>182</v>
      </c>
      <c r="D1138" t="s">
        <v>133</v>
      </c>
      <c r="E1138" t="s">
        <v>134</v>
      </c>
      <c r="F1138" s="2">
        <v>30</v>
      </c>
    </row>
    <row r="1139" spans="1:6">
      <c r="A1139" s="1">
        <v>43586</v>
      </c>
      <c r="B1139" t="s">
        <v>1285</v>
      </c>
      <c r="C1139" t="s">
        <v>223</v>
      </c>
      <c r="D1139" t="s">
        <v>120</v>
      </c>
      <c r="E1139" t="s">
        <v>153</v>
      </c>
      <c r="F1139" s="2">
        <v>90</v>
      </c>
    </row>
    <row r="1140" spans="1:6">
      <c r="A1140" s="1">
        <v>43586</v>
      </c>
      <c r="B1140" t="s">
        <v>1286</v>
      </c>
      <c r="C1140" t="s">
        <v>119</v>
      </c>
      <c r="D1140" t="s">
        <v>126</v>
      </c>
      <c r="E1140" t="s">
        <v>134</v>
      </c>
      <c r="F1140" s="2">
        <v>160</v>
      </c>
    </row>
    <row r="1141" spans="1:6">
      <c r="A1141" s="1">
        <v>43586</v>
      </c>
      <c r="B1141" t="s">
        <v>1287</v>
      </c>
      <c r="C1141" t="s">
        <v>223</v>
      </c>
      <c r="D1141" t="s">
        <v>126</v>
      </c>
      <c r="E1141" t="s">
        <v>134</v>
      </c>
      <c r="F1141" s="2">
        <v>160</v>
      </c>
    </row>
    <row r="1142" spans="1:6">
      <c r="A1142" s="1">
        <v>43586</v>
      </c>
      <c r="B1142" t="s">
        <v>1288</v>
      </c>
      <c r="C1142" t="s">
        <v>143</v>
      </c>
      <c r="D1142" t="s">
        <v>139</v>
      </c>
      <c r="E1142" t="s">
        <v>153</v>
      </c>
      <c r="F1142" s="2">
        <v>80</v>
      </c>
    </row>
    <row r="1143" spans="1:6">
      <c r="A1143" s="1">
        <v>43586</v>
      </c>
      <c r="B1143" t="s">
        <v>1289</v>
      </c>
      <c r="C1143" t="s">
        <v>136</v>
      </c>
      <c r="D1143" t="s">
        <v>133</v>
      </c>
      <c r="E1143" t="s">
        <v>121</v>
      </c>
      <c r="F1143" s="2">
        <v>30</v>
      </c>
    </row>
    <row r="1144" spans="1:6">
      <c r="A1144" s="1">
        <v>43587</v>
      </c>
      <c r="B1144" t="s">
        <v>1290</v>
      </c>
      <c r="C1144" t="s">
        <v>152</v>
      </c>
      <c r="D1144" t="s">
        <v>130</v>
      </c>
      <c r="E1144" t="s">
        <v>134</v>
      </c>
      <c r="F1144" s="2">
        <v>100</v>
      </c>
    </row>
    <row r="1145" spans="1:6">
      <c r="A1145" s="1">
        <v>43587</v>
      </c>
      <c r="B1145" t="s">
        <v>1291</v>
      </c>
      <c r="C1145" t="s">
        <v>223</v>
      </c>
      <c r="D1145" t="s">
        <v>126</v>
      </c>
      <c r="E1145" t="s">
        <v>134</v>
      </c>
      <c r="F1145" s="2">
        <v>160</v>
      </c>
    </row>
    <row r="1146" spans="1:6">
      <c r="A1146" s="1">
        <v>43587</v>
      </c>
      <c r="B1146" t="s">
        <v>1292</v>
      </c>
      <c r="C1146" t="s">
        <v>152</v>
      </c>
      <c r="D1146" t="s">
        <v>159</v>
      </c>
      <c r="E1146" t="s">
        <v>121</v>
      </c>
      <c r="F1146" s="2">
        <v>150</v>
      </c>
    </row>
    <row r="1147" spans="1:6">
      <c r="A1147" s="1">
        <v>43587</v>
      </c>
      <c r="B1147" t="s">
        <v>1293</v>
      </c>
      <c r="C1147" t="s">
        <v>187</v>
      </c>
      <c r="D1147" t="s">
        <v>159</v>
      </c>
      <c r="E1147" t="s">
        <v>134</v>
      </c>
      <c r="F1147" s="2">
        <v>150</v>
      </c>
    </row>
    <row r="1148" spans="1:6">
      <c r="A1148" s="1">
        <v>43587</v>
      </c>
      <c r="B1148" t="s">
        <v>1294</v>
      </c>
      <c r="C1148" t="s">
        <v>148</v>
      </c>
      <c r="D1148" t="s">
        <v>141</v>
      </c>
      <c r="E1148" t="s">
        <v>127</v>
      </c>
      <c r="F1148" s="2">
        <v>180</v>
      </c>
    </row>
    <row r="1149" spans="1:6">
      <c r="A1149" s="1">
        <v>43587</v>
      </c>
      <c r="B1149" t="s">
        <v>1295</v>
      </c>
      <c r="C1149" t="s">
        <v>119</v>
      </c>
      <c r="D1149" t="s">
        <v>126</v>
      </c>
      <c r="E1149" t="s">
        <v>131</v>
      </c>
      <c r="F1149" s="2">
        <v>160</v>
      </c>
    </row>
    <row r="1150" spans="1:6">
      <c r="A1150" s="1">
        <v>43587</v>
      </c>
      <c r="B1150" t="s">
        <v>1296</v>
      </c>
      <c r="C1150" t="s">
        <v>129</v>
      </c>
      <c r="D1150" t="s">
        <v>159</v>
      </c>
      <c r="E1150" t="s">
        <v>131</v>
      </c>
      <c r="F1150" s="2">
        <v>150</v>
      </c>
    </row>
    <row r="1151" spans="1:6">
      <c r="A1151" s="1">
        <v>43587</v>
      </c>
      <c r="B1151" t="s">
        <v>1297</v>
      </c>
      <c r="C1151" t="s">
        <v>189</v>
      </c>
      <c r="D1151" t="s">
        <v>146</v>
      </c>
      <c r="E1151" t="s">
        <v>121</v>
      </c>
      <c r="F1151" s="2">
        <v>50</v>
      </c>
    </row>
    <row r="1152" spans="1:6">
      <c r="A1152" s="1">
        <v>43587</v>
      </c>
      <c r="B1152" t="s">
        <v>1298</v>
      </c>
      <c r="C1152" t="s">
        <v>138</v>
      </c>
      <c r="D1152" t="s">
        <v>139</v>
      </c>
      <c r="E1152" t="s">
        <v>127</v>
      </c>
      <c r="F1152" s="2">
        <v>80</v>
      </c>
    </row>
    <row r="1153" spans="1:6">
      <c r="A1153" s="1">
        <v>43587</v>
      </c>
      <c r="B1153" t="s">
        <v>1299</v>
      </c>
      <c r="C1153" t="s">
        <v>148</v>
      </c>
      <c r="D1153" t="s">
        <v>159</v>
      </c>
      <c r="E1153" t="s">
        <v>134</v>
      </c>
      <c r="F1153" s="2">
        <v>150</v>
      </c>
    </row>
    <row r="1154" spans="1:6">
      <c r="A1154" s="1">
        <v>43587</v>
      </c>
      <c r="B1154" t="s">
        <v>1300</v>
      </c>
      <c r="C1154" t="s">
        <v>157</v>
      </c>
      <c r="D1154" t="s">
        <v>120</v>
      </c>
      <c r="E1154" t="s">
        <v>134</v>
      </c>
      <c r="F1154" s="2">
        <v>90</v>
      </c>
    </row>
    <row r="1155" spans="1:6">
      <c r="A1155" s="1">
        <v>43587</v>
      </c>
      <c r="B1155" t="s">
        <v>1301</v>
      </c>
      <c r="C1155" t="s">
        <v>129</v>
      </c>
      <c r="D1155" t="s">
        <v>146</v>
      </c>
      <c r="E1155" t="s">
        <v>153</v>
      </c>
      <c r="F1155" s="2">
        <v>50</v>
      </c>
    </row>
    <row r="1156" spans="1:6">
      <c r="A1156" s="1">
        <v>43587</v>
      </c>
      <c r="B1156" t="s">
        <v>1302</v>
      </c>
      <c r="C1156" t="s">
        <v>136</v>
      </c>
      <c r="D1156" t="s">
        <v>126</v>
      </c>
      <c r="E1156" t="s">
        <v>127</v>
      </c>
      <c r="F1156" s="2">
        <v>160</v>
      </c>
    </row>
    <row r="1157" spans="1:6">
      <c r="A1157" s="1">
        <v>43587</v>
      </c>
      <c r="B1157" t="s">
        <v>1303</v>
      </c>
      <c r="C1157" t="s">
        <v>136</v>
      </c>
      <c r="D1157" t="s">
        <v>139</v>
      </c>
      <c r="E1157" t="s">
        <v>153</v>
      </c>
      <c r="F1157" s="2">
        <v>80</v>
      </c>
    </row>
    <row r="1158" spans="1:6">
      <c r="A1158" s="1">
        <v>43587</v>
      </c>
      <c r="B1158" t="s">
        <v>1304</v>
      </c>
      <c r="C1158" t="s">
        <v>152</v>
      </c>
      <c r="D1158" t="s">
        <v>146</v>
      </c>
      <c r="E1158" t="s">
        <v>153</v>
      </c>
      <c r="F1158" s="2">
        <v>50</v>
      </c>
    </row>
    <row r="1159" spans="1:6">
      <c r="A1159" s="1">
        <v>43587</v>
      </c>
      <c r="B1159" t="s">
        <v>1305</v>
      </c>
      <c r="C1159" t="s">
        <v>152</v>
      </c>
      <c r="D1159" t="s">
        <v>146</v>
      </c>
      <c r="E1159" t="s">
        <v>121</v>
      </c>
      <c r="F1159" s="2">
        <v>50</v>
      </c>
    </row>
    <row r="1160" spans="1:6">
      <c r="A1160" s="1">
        <v>43587</v>
      </c>
      <c r="B1160" t="s">
        <v>1306</v>
      </c>
      <c r="C1160" t="s">
        <v>223</v>
      </c>
      <c r="D1160" t="s">
        <v>146</v>
      </c>
      <c r="E1160" t="s">
        <v>153</v>
      </c>
      <c r="F1160" s="2">
        <v>50</v>
      </c>
    </row>
    <row r="1161" spans="1:6">
      <c r="A1161" s="1">
        <v>43587</v>
      </c>
      <c r="B1161" t="s">
        <v>1307</v>
      </c>
      <c r="C1161" t="s">
        <v>189</v>
      </c>
      <c r="D1161" t="s">
        <v>126</v>
      </c>
      <c r="E1161" t="s">
        <v>131</v>
      </c>
      <c r="F1161" s="2">
        <v>160</v>
      </c>
    </row>
    <row r="1162" spans="1:6">
      <c r="A1162" s="1">
        <v>43587</v>
      </c>
      <c r="B1162" t="s">
        <v>1308</v>
      </c>
      <c r="C1162" t="s">
        <v>187</v>
      </c>
      <c r="D1162" t="s">
        <v>120</v>
      </c>
      <c r="E1162" t="s">
        <v>131</v>
      </c>
      <c r="F1162" s="2">
        <v>90</v>
      </c>
    </row>
    <row r="1163" spans="1:6">
      <c r="A1163" s="1">
        <v>43588</v>
      </c>
      <c r="B1163" t="s">
        <v>1309</v>
      </c>
      <c r="C1163" t="s">
        <v>138</v>
      </c>
      <c r="D1163" t="s">
        <v>141</v>
      </c>
      <c r="E1163" t="s">
        <v>127</v>
      </c>
      <c r="F1163" s="2">
        <v>180</v>
      </c>
    </row>
    <row r="1164" spans="1:6">
      <c r="A1164" s="1">
        <v>43588</v>
      </c>
      <c r="B1164" t="s">
        <v>1310</v>
      </c>
      <c r="C1164" t="s">
        <v>187</v>
      </c>
      <c r="D1164" t="s">
        <v>126</v>
      </c>
      <c r="E1164" t="s">
        <v>131</v>
      </c>
      <c r="F1164" s="2">
        <v>160</v>
      </c>
    </row>
    <row r="1165" spans="1:6">
      <c r="A1165" s="1">
        <v>43588</v>
      </c>
      <c r="B1165" t="s">
        <v>1311</v>
      </c>
      <c r="C1165" t="s">
        <v>136</v>
      </c>
      <c r="D1165" t="s">
        <v>126</v>
      </c>
      <c r="E1165" t="s">
        <v>153</v>
      </c>
      <c r="F1165" s="2">
        <v>160</v>
      </c>
    </row>
    <row r="1166" spans="1:6">
      <c r="A1166" s="1">
        <v>43588</v>
      </c>
      <c r="B1166" t="s">
        <v>1312</v>
      </c>
      <c r="C1166" t="s">
        <v>119</v>
      </c>
      <c r="D1166" t="s">
        <v>141</v>
      </c>
      <c r="E1166" t="s">
        <v>134</v>
      </c>
      <c r="F1166" s="2">
        <v>180</v>
      </c>
    </row>
    <row r="1167" spans="1:6">
      <c r="A1167" s="1">
        <v>43588</v>
      </c>
      <c r="B1167" t="s">
        <v>1313</v>
      </c>
      <c r="C1167" t="s">
        <v>157</v>
      </c>
      <c r="D1167" t="s">
        <v>130</v>
      </c>
      <c r="E1167" t="s">
        <v>134</v>
      </c>
      <c r="F1167" s="2">
        <v>100</v>
      </c>
    </row>
    <row r="1168" spans="1:6">
      <c r="A1168" s="1">
        <v>43588</v>
      </c>
      <c r="B1168" t="s">
        <v>1314</v>
      </c>
      <c r="C1168" t="s">
        <v>125</v>
      </c>
      <c r="D1168" t="s">
        <v>120</v>
      </c>
      <c r="E1168" t="s">
        <v>131</v>
      </c>
      <c r="F1168" s="2">
        <v>90</v>
      </c>
    </row>
    <row r="1169" spans="1:6">
      <c r="A1169" s="1">
        <v>43588</v>
      </c>
      <c r="B1169" t="s">
        <v>1315</v>
      </c>
      <c r="C1169" t="s">
        <v>187</v>
      </c>
      <c r="D1169" t="s">
        <v>126</v>
      </c>
      <c r="E1169" t="s">
        <v>134</v>
      </c>
      <c r="F1169" s="2">
        <v>160</v>
      </c>
    </row>
    <row r="1170" spans="1:6">
      <c r="A1170" s="1">
        <v>43588</v>
      </c>
      <c r="B1170" t="s">
        <v>1316</v>
      </c>
      <c r="C1170" t="s">
        <v>136</v>
      </c>
      <c r="D1170" t="s">
        <v>120</v>
      </c>
      <c r="E1170" t="s">
        <v>127</v>
      </c>
      <c r="F1170" s="2">
        <v>90</v>
      </c>
    </row>
    <row r="1171" spans="1:6">
      <c r="A1171" s="1">
        <v>43589</v>
      </c>
      <c r="B1171" t="s">
        <v>1317</v>
      </c>
      <c r="C1171" t="s">
        <v>143</v>
      </c>
      <c r="D1171" t="s">
        <v>126</v>
      </c>
      <c r="E1171" t="s">
        <v>121</v>
      </c>
      <c r="F1171" s="2">
        <v>160</v>
      </c>
    </row>
    <row r="1172" spans="1:6">
      <c r="A1172" s="1">
        <v>43589</v>
      </c>
      <c r="B1172" t="s">
        <v>1318</v>
      </c>
      <c r="C1172" t="s">
        <v>157</v>
      </c>
      <c r="D1172" t="s">
        <v>141</v>
      </c>
      <c r="E1172" t="s">
        <v>131</v>
      </c>
      <c r="F1172" s="2">
        <v>180</v>
      </c>
    </row>
    <row r="1173" spans="1:6">
      <c r="A1173" s="1">
        <v>43589</v>
      </c>
      <c r="B1173" t="s">
        <v>1319</v>
      </c>
      <c r="C1173" t="s">
        <v>129</v>
      </c>
      <c r="D1173" t="s">
        <v>126</v>
      </c>
      <c r="E1173" t="s">
        <v>134</v>
      </c>
      <c r="F1173" s="2">
        <v>160</v>
      </c>
    </row>
    <row r="1174" spans="1:6">
      <c r="A1174" s="1">
        <v>43589</v>
      </c>
      <c r="B1174" t="s">
        <v>1320</v>
      </c>
      <c r="C1174" t="s">
        <v>189</v>
      </c>
      <c r="D1174" t="s">
        <v>139</v>
      </c>
      <c r="E1174" t="s">
        <v>131</v>
      </c>
      <c r="F1174" s="2">
        <v>80</v>
      </c>
    </row>
    <row r="1175" spans="1:6">
      <c r="A1175" s="1">
        <v>43589</v>
      </c>
      <c r="B1175" t="s">
        <v>1321</v>
      </c>
      <c r="C1175" t="s">
        <v>189</v>
      </c>
      <c r="D1175" t="s">
        <v>159</v>
      </c>
      <c r="E1175" t="s">
        <v>153</v>
      </c>
      <c r="F1175" s="2">
        <v>150</v>
      </c>
    </row>
    <row r="1176" spans="1:6">
      <c r="A1176" s="1">
        <v>43589</v>
      </c>
      <c r="B1176" t="s">
        <v>1322</v>
      </c>
      <c r="C1176" t="s">
        <v>125</v>
      </c>
      <c r="D1176" t="s">
        <v>159</v>
      </c>
      <c r="E1176" t="s">
        <v>131</v>
      </c>
      <c r="F1176" s="2">
        <v>150</v>
      </c>
    </row>
    <row r="1177" spans="1:6">
      <c r="A1177" s="1">
        <v>43589</v>
      </c>
      <c r="B1177" t="s">
        <v>1323</v>
      </c>
      <c r="C1177" t="s">
        <v>145</v>
      </c>
      <c r="D1177" t="s">
        <v>141</v>
      </c>
      <c r="E1177" t="s">
        <v>131</v>
      </c>
      <c r="F1177" s="2">
        <v>180</v>
      </c>
    </row>
    <row r="1178" spans="1:6">
      <c r="A1178" s="1">
        <v>43589</v>
      </c>
      <c r="B1178" t="s">
        <v>1324</v>
      </c>
      <c r="C1178" t="s">
        <v>223</v>
      </c>
      <c r="D1178" t="s">
        <v>141</v>
      </c>
      <c r="E1178" t="s">
        <v>131</v>
      </c>
      <c r="F1178" s="2">
        <v>180</v>
      </c>
    </row>
    <row r="1179" spans="1:6">
      <c r="A1179" s="1">
        <v>43589</v>
      </c>
      <c r="B1179" t="s">
        <v>1325</v>
      </c>
      <c r="C1179" t="s">
        <v>187</v>
      </c>
      <c r="D1179" t="s">
        <v>126</v>
      </c>
      <c r="E1179" t="s">
        <v>127</v>
      </c>
      <c r="F1179" s="2">
        <v>160</v>
      </c>
    </row>
    <row r="1180" spans="1:6">
      <c r="A1180" s="1">
        <v>43589</v>
      </c>
      <c r="B1180" t="s">
        <v>1326</v>
      </c>
      <c r="C1180" t="s">
        <v>143</v>
      </c>
      <c r="D1180" t="s">
        <v>130</v>
      </c>
      <c r="E1180" t="s">
        <v>127</v>
      </c>
      <c r="F1180" s="2">
        <v>100</v>
      </c>
    </row>
    <row r="1181" spans="1:6">
      <c r="A1181" s="1">
        <v>43589</v>
      </c>
      <c r="B1181" t="s">
        <v>1327</v>
      </c>
      <c r="C1181" t="s">
        <v>223</v>
      </c>
      <c r="D1181" t="s">
        <v>146</v>
      </c>
      <c r="E1181" t="s">
        <v>153</v>
      </c>
      <c r="F1181" s="2">
        <v>50</v>
      </c>
    </row>
    <row r="1182" spans="1:6">
      <c r="A1182" s="1">
        <v>43589</v>
      </c>
      <c r="B1182" t="s">
        <v>1328</v>
      </c>
      <c r="C1182" t="s">
        <v>125</v>
      </c>
      <c r="D1182" t="s">
        <v>130</v>
      </c>
      <c r="E1182" t="s">
        <v>131</v>
      </c>
      <c r="F1182" s="2">
        <v>100</v>
      </c>
    </row>
    <row r="1183" spans="1:6">
      <c r="A1183" s="1">
        <v>43589</v>
      </c>
      <c r="B1183" t="s">
        <v>1329</v>
      </c>
      <c r="C1183" t="s">
        <v>152</v>
      </c>
      <c r="D1183" t="s">
        <v>146</v>
      </c>
      <c r="E1183" t="s">
        <v>131</v>
      </c>
      <c r="F1183" s="2">
        <v>50</v>
      </c>
    </row>
    <row r="1184" spans="1:6">
      <c r="A1184" s="1">
        <v>43590</v>
      </c>
      <c r="B1184" t="s">
        <v>1330</v>
      </c>
      <c r="C1184" t="s">
        <v>119</v>
      </c>
      <c r="D1184" t="s">
        <v>133</v>
      </c>
      <c r="E1184" t="s">
        <v>127</v>
      </c>
      <c r="F1184" s="2">
        <v>30</v>
      </c>
    </row>
    <row r="1185" spans="1:6">
      <c r="A1185" s="1">
        <v>43590</v>
      </c>
      <c r="B1185" t="s">
        <v>1331</v>
      </c>
      <c r="C1185" t="s">
        <v>119</v>
      </c>
      <c r="D1185" t="s">
        <v>141</v>
      </c>
      <c r="E1185" t="s">
        <v>127</v>
      </c>
      <c r="F1185" s="2">
        <v>180</v>
      </c>
    </row>
    <row r="1186" spans="1:6">
      <c r="A1186" s="1">
        <v>43590</v>
      </c>
      <c r="B1186" t="s">
        <v>1332</v>
      </c>
      <c r="C1186" t="s">
        <v>145</v>
      </c>
      <c r="D1186" t="s">
        <v>159</v>
      </c>
      <c r="E1186" t="s">
        <v>131</v>
      </c>
      <c r="F1186" s="2">
        <v>150</v>
      </c>
    </row>
    <row r="1187" spans="1:6">
      <c r="A1187" s="1">
        <v>43590</v>
      </c>
      <c r="B1187" t="s">
        <v>1333</v>
      </c>
      <c r="C1187" t="s">
        <v>119</v>
      </c>
      <c r="D1187" t="s">
        <v>139</v>
      </c>
      <c r="E1187" t="s">
        <v>127</v>
      </c>
      <c r="F1187" s="2">
        <v>80</v>
      </c>
    </row>
    <row r="1188" spans="1:6">
      <c r="A1188" s="1">
        <v>43590</v>
      </c>
      <c r="B1188" t="s">
        <v>1334</v>
      </c>
      <c r="C1188" t="s">
        <v>223</v>
      </c>
      <c r="D1188" t="s">
        <v>146</v>
      </c>
      <c r="E1188" t="s">
        <v>131</v>
      </c>
      <c r="F1188" s="2">
        <v>50</v>
      </c>
    </row>
    <row r="1189" spans="1:6">
      <c r="A1189" s="1">
        <v>43590</v>
      </c>
      <c r="B1189" t="s">
        <v>1335</v>
      </c>
      <c r="C1189" t="s">
        <v>157</v>
      </c>
      <c r="D1189" t="s">
        <v>159</v>
      </c>
      <c r="E1189" t="s">
        <v>121</v>
      </c>
      <c r="F1189" s="2">
        <v>150</v>
      </c>
    </row>
    <row r="1190" spans="1:6">
      <c r="A1190" s="1">
        <v>43590</v>
      </c>
      <c r="B1190" t="s">
        <v>1336</v>
      </c>
      <c r="C1190" t="s">
        <v>148</v>
      </c>
      <c r="D1190" t="s">
        <v>133</v>
      </c>
      <c r="E1190" t="s">
        <v>121</v>
      </c>
      <c r="F1190" s="2">
        <v>30</v>
      </c>
    </row>
    <row r="1191" spans="1:6">
      <c r="A1191" s="1">
        <v>43590</v>
      </c>
      <c r="B1191" t="s">
        <v>1337</v>
      </c>
      <c r="C1191" t="s">
        <v>157</v>
      </c>
      <c r="D1191" t="s">
        <v>133</v>
      </c>
      <c r="E1191" t="s">
        <v>131</v>
      </c>
      <c r="F1191" s="2">
        <v>30</v>
      </c>
    </row>
    <row r="1192" spans="1:6">
      <c r="A1192" s="1">
        <v>43590</v>
      </c>
      <c r="B1192" t="s">
        <v>1338</v>
      </c>
      <c r="C1192" t="s">
        <v>167</v>
      </c>
      <c r="D1192" t="s">
        <v>126</v>
      </c>
      <c r="E1192" t="s">
        <v>121</v>
      </c>
      <c r="F1192" s="2">
        <v>160</v>
      </c>
    </row>
    <row r="1193" spans="1:6">
      <c r="A1193" s="1">
        <v>43590</v>
      </c>
      <c r="B1193" t="s">
        <v>1339</v>
      </c>
      <c r="C1193" t="s">
        <v>223</v>
      </c>
      <c r="D1193" t="s">
        <v>133</v>
      </c>
      <c r="E1193" t="s">
        <v>127</v>
      </c>
      <c r="F1193" s="2">
        <v>30</v>
      </c>
    </row>
    <row r="1194" spans="1:6">
      <c r="A1194" s="1">
        <v>43591</v>
      </c>
      <c r="B1194" t="s">
        <v>1340</v>
      </c>
      <c r="C1194" t="s">
        <v>182</v>
      </c>
      <c r="D1194" t="s">
        <v>126</v>
      </c>
      <c r="E1194" t="s">
        <v>127</v>
      </c>
      <c r="F1194" s="2">
        <v>160</v>
      </c>
    </row>
    <row r="1195" spans="1:6">
      <c r="A1195" s="1">
        <v>43591</v>
      </c>
      <c r="B1195" t="s">
        <v>1341</v>
      </c>
      <c r="C1195" t="s">
        <v>182</v>
      </c>
      <c r="D1195" t="s">
        <v>130</v>
      </c>
      <c r="E1195" t="s">
        <v>121</v>
      </c>
      <c r="F1195" s="2">
        <v>100</v>
      </c>
    </row>
    <row r="1196" spans="1:6">
      <c r="A1196" s="1">
        <v>43591</v>
      </c>
      <c r="B1196" t="s">
        <v>1342</v>
      </c>
      <c r="C1196" t="s">
        <v>119</v>
      </c>
      <c r="D1196" t="s">
        <v>130</v>
      </c>
      <c r="E1196" t="s">
        <v>153</v>
      </c>
      <c r="F1196" s="2">
        <v>100</v>
      </c>
    </row>
    <row r="1197" spans="1:6">
      <c r="A1197" s="1">
        <v>43591</v>
      </c>
      <c r="B1197" t="s">
        <v>1343</v>
      </c>
      <c r="C1197" t="s">
        <v>145</v>
      </c>
      <c r="D1197" t="s">
        <v>126</v>
      </c>
      <c r="E1197" t="s">
        <v>121</v>
      </c>
      <c r="F1197" s="2">
        <v>160</v>
      </c>
    </row>
    <row r="1198" spans="1:6">
      <c r="A1198" s="1">
        <v>43591</v>
      </c>
      <c r="B1198" t="s">
        <v>1344</v>
      </c>
      <c r="C1198" t="s">
        <v>125</v>
      </c>
      <c r="D1198" t="s">
        <v>126</v>
      </c>
      <c r="E1198" t="s">
        <v>121</v>
      </c>
      <c r="F1198" s="2">
        <v>160</v>
      </c>
    </row>
    <row r="1199" spans="1:6">
      <c r="A1199" s="1">
        <v>43591</v>
      </c>
      <c r="B1199" t="s">
        <v>1345</v>
      </c>
      <c r="C1199" t="s">
        <v>129</v>
      </c>
      <c r="D1199" t="s">
        <v>141</v>
      </c>
      <c r="E1199" t="s">
        <v>121</v>
      </c>
      <c r="F1199" s="2">
        <v>180</v>
      </c>
    </row>
    <row r="1200" spans="1:6">
      <c r="A1200" s="1">
        <v>43591</v>
      </c>
      <c r="B1200" t="s">
        <v>1346</v>
      </c>
      <c r="C1200" t="s">
        <v>123</v>
      </c>
      <c r="D1200" t="s">
        <v>146</v>
      </c>
      <c r="E1200" t="s">
        <v>134</v>
      </c>
      <c r="F1200" s="2">
        <v>50</v>
      </c>
    </row>
    <row r="1201" spans="1:6">
      <c r="A1201" s="1">
        <v>43591</v>
      </c>
      <c r="B1201" t="s">
        <v>1347</v>
      </c>
      <c r="C1201" t="s">
        <v>125</v>
      </c>
      <c r="D1201" t="s">
        <v>133</v>
      </c>
      <c r="E1201" t="s">
        <v>134</v>
      </c>
      <c r="F1201" s="2">
        <v>30</v>
      </c>
    </row>
    <row r="1202" spans="1:6">
      <c r="A1202" s="1">
        <v>43591</v>
      </c>
      <c r="B1202" t="s">
        <v>1348</v>
      </c>
      <c r="C1202" t="s">
        <v>125</v>
      </c>
      <c r="D1202" t="s">
        <v>159</v>
      </c>
      <c r="E1202" t="s">
        <v>134</v>
      </c>
      <c r="F1202" s="2">
        <v>150</v>
      </c>
    </row>
    <row r="1203" spans="1:6">
      <c r="A1203" s="1">
        <v>43591</v>
      </c>
      <c r="B1203" t="s">
        <v>1349</v>
      </c>
      <c r="C1203" t="s">
        <v>152</v>
      </c>
      <c r="D1203" t="s">
        <v>126</v>
      </c>
      <c r="E1203" t="s">
        <v>153</v>
      </c>
      <c r="F1203" s="2">
        <v>160</v>
      </c>
    </row>
    <row r="1204" spans="1:6">
      <c r="A1204" s="1">
        <v>43592</v>
      </c>
      <c r="B1204" t="s">
        <v>1350</v>
      </c>
      <c r="C1204" t="s">
        <v>223</v>
      </c>
      <c r="D1204" t="s">
        <v>130</v>
      </c>
      <c r="E1204" t="s">
        <v>153</v>
      </c>
      <c r="F1204" s="2">
        <v>100</v>
      </c>
    </row>
    <row r="1205" spans="1:6">
      <c r="A1205" s="1">
        <v>43592</v>
      </c>
      <c r="B1205" t="s">
        <v>1351</v>
      </c>
      <c r="C1205" t="s">
        <v>164</v>
      </c>
      <c r="D1205" t="s">
        <v>133</v>
      </c>
      <c r="E1205" t="s">
        <v>131</v>
      </c>
      <c r="F1205" s="2">
        <v>30</v>
      </c>
    </row>
    <row r="1206" spans="1:6">
      <c r="A1206" s="1">
        <v>43592</v>
      </c>
      <c r="B1206" t="s">
        <v>1352</v>
      </c>
      <c r="C1206" t="s">
        <v>187</v>
      </c>
      <c r="D1206" t="s">
        <v>126</v>
      </c>
      <c r="E1206" t="s">
        <v>153</v>
      </c>
      <c r="F1206" s="2">
        <v>160</v>
      </c>
    </row>
    <row r="1207" spans="1:6">
      <c r="A1207" s="1">
        <v>43592</v>
      </c>
      <c r="B1207" t="s">
        <v>1353</v>
      </c>
      <c r="C1207" t="s">
        <v>189</v>
      </c>
      <c r="D1207" t="s">
        <v>120</v>
      </c>
      <c r="E1207" t="s">
        <v>121</v>
      </c>
      <c r="F1207" s="2">
        <v>90</v>
      </c>
    </row>
    <row r="1208" spans="1:6">
      <c r="A1208" s="1">
        <v>43592</v>
      </c>
      <c r="B1208" t="s">
        <v>1354</v>
      </c>
      <c r="C1208" t="s">
        <v>164</v>
      </c>
      <c r="D1208" t="s">
        <v>146</v>
      </c>
      <c r="E1208" t="s">
        <v>131</v>
      </c>
      <c r="F1208" s="2">
        <v>50</v>
      </c>
    </row>
    <row r="1209" spans="1:6">
      <c r="A1209" s="1">
        <v>43592</v>
      </c>
      <c r="B1209" t="s">
        <v>1355</v>
      </c>
      <c r="C1209" t="s">
        <v>223</v>
      </c>
      <c r="D1209" t="s">
        <v>120</v>
      </c>
      <c r="E1209" t="s">
        <v>121</v>
      </c>
      <c r="F1209" s="2">
        <v>90</v>
      </c>
    </row>
    <row r="1210" spans="1:6">
      <c r="A1210" s="1">
        <v>43592</v>
      </c>
      <c r="B1210" t="s">
        <v>1356</v>
      </c>
      <c r="C1210" t="s">
        <v>136</v>
      </c>
      <c r="D1210" t="s">
        <v>146</v>
      </c>
      <c r="E1210" t="s">
        <v>131</v>
      </c>
      <c r="F1210" s="2">
        <v>50</v>
      </c>
    </row>
    <row r="1211" spans="1:6">
      <c r="A1211" s="1">
        <v>43592</v>
      </c>
      <c r="B1211" t="s">
        <v>1357</v>
      </c>
      <c r="C1211" t="s">
        <v>136</v>
      </c>
      <c r="D1211" t="s">
        <v>146</v>
      </c>
      <c r="E1211" t="s">
        <v>134</v>
      </c>
      <c r="F1211" s="2">
        <v>50</v>
      </c>
    </row>
    <row r="1212" spans="1:6">
      <c r="A1212" s="1">
        <v>43592</v>
      </c>
      <c r="B1212" t="s">
        <v>1358</v>
      </c>
      <c r="C1212" t="s">
        <v>125</v>
      </c>
      <c r="D1212" t="s">
        <v>133</v>
      </c>
      <c r="E1212" t="s">
        <v>121</v>
      </c>
      <c r="F1212" s="2">
        <v>30</v>
      </c>
    </row>
    <row r="1213" spans="1:6">
      <c r="A1213" s="1">
        <v>43592</v>
      </c>
      <c r="B1213" t="s">
        <v>1359</v>
      </c>
      <c r="C1213" t="s">
        <v>138</v>
      </c>
      <c r="D1213" t="s">
        <v>139</v>
      </c>
      <c r="E1213" t="s">
        <v>153</v>
      </c>
      <c r="F1213" s="2">
        <v>80</v>
      </c>
    </row>
    <row r="1214" spans="1:6">
      <c r="A1214" s="1">
        <v>43593</v>
      </c>
      <c r="B1214" t="s">
        <v>1360</v>
      </c>
      <c r="C1214" t="s">
        <v>145</v>
      </c>
      <c r="D1214" t="s">
        <v>130</v>
      </c>
      <c r="E1214" t="s">
        <v>153</v>
      </c>
      <c r="F1214" s="2">
        <v>100</v>
      </c>
    </row>
    <row r="1215" spans="1:6">
      <c r="A1215" s="1">
        <v>43593</v>
      </c>
      <c r="B1215" t="s">
        <v>1361</v>
      </c>
      <c r="C1215" t="s">
        <v>119</v>
      </c>
      <c r="D1215" t="s">
        <v>141</v>
      </c>
      <c r="E1215" t="s">
        <v>131</v>
      </c>
      <c r="F1215" s="2">
        <v>180</v>
      </c>
    </row>
    <row r="1216" spans="1:6">
      <c r="A1216" s="1">
        <v>43593</v>
      </c>
      <c r="B1216" t="s">
        <v>1362</v>
      </c>
      <c r="C1216" t="s">
        <v>129</v>
      </c>
      <c r="D1216" t="s">
        <v>159</v>
      </c>
      <c r="E1216" t="s">
        <v>153</v>
      </c>
      <c r="F1216" s="2">
        <v>150</v>
      </c>
    </row>
    <row r="1217" spans="1:6">
      <c r="A1217" s="1">
        <v>43593</v>
      </c>
      <c r="B1217" t="s">
        <v>1363</v>
      </c>
      <c r="C1217" t="s">
        <v>182</v>
      </c>
      <c r="D1217" t="s">
        <v>126</v>
      </c>
      <c r="E1217" t="s">
        <v>131</v>
      </c>
      <c r="F1217" s="2">
        <v>160</v>
      </c>
    </row>
    <row r="1218" spans="1:6">
      <c r="A1218" s="1">
        <v>43593</v>
      </c>
      <c r="B1218" t="s">
        <v>1364</v>
      </c>
      <c r="C1218" t="s">
        <v>136</v>
      </c>
      <c r="D1218" t="s">
        <v>139</v>
      </c>
      <c r="E1218" t="s">
        <v>121</v>
      </c>
      <c r="F1218" s="2">
        <v>80</v>
      </c>
    </row>
    <row r="1219" spans="1:6">
      <c r="A1219" s="1">
        <v>43593</v>
      </c>
      <c r="B1219" t="s">
        <v>1365</v>
      </c>
      <c r="C1219" t="s">
        <v>189</v>
      </c>
      <c r="D1219" t="s">
        <v>133</v>
      </c>
      <c r="E1219" t="s">
        <v>127</v>
      </c>
      <c r="F1219" s="2">
        <v>30</v>
      </c>
    </row>
    <row r="1220" spans="1:6">
      <c r="A1220" s="1">
        <v>43593</v>
      </c>
      <c r="B1220" t="s">
        <v>1366</v>
      </c>
      <c r="C1220" t="s">
        <v>129</v>
      </c>
      <c r="D1220" t="s">
        <v>146</v>
      </c>
      <c r="E1220" t="s">
        <v>131</v>
      </c>
      <c r="F1220" s="2">
        <v>50</v>
      </c>
    </row>
    <row r="1221" spans="1:6">
      <c r="A1221" s="1">
        <v>43593</v>
      </c>
      <c r="B1221" t="s">
        <v>1367</v>
      </c>
      <c r="C1221" t="s">
        <v>123</v>
      </c>
      <c r="D1221" t="s">
        <v>133</v>
      </c>
      <c r="E1221" t="s">
        <v>127</v>
      </c>
      <c r="F1221" s="2">
        <v>30</v>
      </c>
    </row>
    <row r="1222" spans="1:6">
      <c r="A1222" s="1">
        <v>43593</v>
      </c>
      <c r="B1222" t="s">
        <v>1368</v>
      </c>
      <c r="C1222" t="s">
        <v>125</v>
      </c>
      <c r="D1222" t="s">
        <v>130</v>
      </c>
      <c r="E1222" t="s">
        <v>127</v>
      </c>
      <c r="F1222" s="2">
        <v>100</v>
      </c>
    </row>
    <row r="1223" spans="1:6">
      <c r="A1223" s="1">
        <v>43594</v>
      </c>
      <c r="B1223" t="s">
        <v>1369</v>
      </c>
      <c r="C1223" t="s">
        <v>182</v>
      </c>
      <c r="D1223" t="s">
        <v>120</v>
      </c>
      <c r="E1223" t="s">
        <v>127</v>
      </c>
      <c r="F1223" s="2">
        <v>90</v>
      </c>
    </row>
    <row r="1224" spans="1:6">
      <c r="A1224" s="1">
        <v>43594</v>
      </c>
      <c r="B1224" t="s">
        <v>1370</v>
      </c>
      <c r="C1224" t="s">
        <v>189</v>
      </c>
      <c r="D1224" t="s">
        <v>139</v>
      </c>
      <c r="E1224" t="s">
        <v>153</v>
      </c>
      <c r="F1224" s="2">
        <v>80</v>
      </c>
    </row>
    <row r="1225" spans="1:6">
      <c r="A1225" s="1">
        <v>43594</v>
      </c>
      <c r="B1225" t="s">
        <v>1371</v>
      </c>
      <c r="C1225" t="s">
        <v>129</v>
      </c>
      <c r="D1225" t="s">
        <v>130</v>
      </c>
      <c r="E1225" t="s">
        <v>153</v>
      </c>
      <c r="F1225" s="2">
        <v>100</v>
      </c>
    </row>
    <row r="1226" spans="1:6">
      <c r="A1226" s="1">
        <v>43594</v>
      </c>
      <c r="B1226" t="s">
        <v>1372</v>
      </c>
      <c r="C1226" t="s">
        <v>189</v>
      </c>
      <c r="D1226" t="s">
        <v>120</v>
      </c>
      <c r="E1226" t="s">
        <v>127</v>
      </c>
      <c r="F1226" s="2">
        <v>90</v>
      </c>
    </row>
    <row r="1227" spans="1:6">
      <c r="A1227" s="1">
        <v>43594</v>
      </c>
      <c r="B1227" t="s">
        <v>1373</v>
      </c>
      <c r="C1227" t="s">
        <v>157</v>
      </c>
      <c r="D1227" t="s">
        <v>133</v>
      </c>
      <c r="E1227" t="s">
        <v>134</v>
      </c>
      <c r="F1227" s="2">
        <v>30</v>
      </c>
    </row>
    <row r="1228" spans="1:6">
      <c r="A1228" s="1">
        <v>43594</v>
      </c>
      <c r="B1228" t="s">
        <v>1374</v>
      </c>
      <c r="C1228" t="s">
        <v>182</v>
      </c>
      <c r="D1228" t="s">
        <v>120</v>
      </c>
      <c r="E1228" t="s">
        <v>131</v>
      </c>
      <c r="F1228" s="2">
        <v>90</v>
      </c>
    </row>
    <row r="1229" spans="1:6">
      <c r="A1229" s="1">
        <v>43594</v>
      </c>
      <c r="B1229" t="s">
        <v>1375</v>
      </c>
      <c r="C1229" t="s">
        <v>157</v>
      </c>
      <c r="D1229" t="s">
        <v>130</v>
      </c>
      <c r="E1229" t="s">
        <v>131</v>
      </c>
      <c r="F1229" s="2">
        <v>100</v>
      </c>
    </row>
    <row r="1230" spans="1:6">
      <c r="A1230" s="1">
        <v>43594</v>
      </c>
      <c r="B1230" t="s">
        <v>1376</v>
      </c>
      <c r="C1230" t="s">
        <v>152</v>
      </c>
      <c r="D1230" t="s">
        <v>133</v>
      </c>
      <c r="E1230" t="s">
        <v>121</v>
      </c>
      <c r="F1230" s="2">
        <v>30</v>
      </c>
    </row>
    <row r="1231" spans="1:6">
      <c r="A1231" s="1">
        <v>43594</v>
      </c>
      <c r="B1231" t="s">
        <v>1377</v>
      </c>
      <c r="C1231" t="s">
        <v>136</v>
      </c>
      <c r="D1231" t="s">
        <v>133</v>
      </c>
      <c r="E1231" t="s">
        <v>121</v>
      </c>
      <c r="F1231" s="2">
        <v>30</v>
      </c>
    </row>
    <row r="1232" spans="1:6">
      <c r="A1232" s="1">
        <v>43594</v>
      </c>
      <c r="B1232" t="s">
        <v>1378</v>
      </c>
      <c r="C1232" t="s">
        <v>136</v>
      </c>
      <c r="D1232" t="s">
        <v>146</v>
      </c>
      <c r="E1232" t="s">
        <v>134</v>
      </c>
      <c r="F1232" s="2">
        <v>50</v>
      </c>
    </row>
    <row r="1233" spans="1:6">
      <c r="A1233" s="1">
        <v>43595</v>
      </c>
      <c r="B1233" t="s">
        <v>1379</v>
      </c>
      <c r="C1233" t="s">
        <v>164</v>
      </c>
      <c r="D1233" t="s">
        <v>159</v>
      </c>
      <c r="E1233" t="s">
        <v>131</v>
      </c>
      <c r="F1233" s="2">
        <v>150</v>
      </c>
    </row>
    <row r="1234" spans="1:6">
      <c r="A1234" s="1">
        <v>43595</v>
      </c>
      <c r="B1234" t="s">
        <v>1380</v>
      </c>
      <c r="C1234" t="s">
        <v>125</v>
      </c>
      <c r="D1234" t="s">
        <v>146</v>
      </c>
      <c r="E1234" t="s">
        <v>153</v>
      </c>
      <c r="F1234" s="2">
        <v>50</v>
      </c>
    </row>
    <row r="1235" spans="1:6">
      <c r="A1235" s="1">
        <v>43595</v>
      </c>
      <c r="B1235" t="s">
        <v>1381</v>
      </c>
      <c r="C1235" t="s">
        <v>167</v>
      </c>
      <c r="D1235" t="s">
        <v>139</v>
      </c>
      <c r="E1235" t="s">
        <v>153</v>
      </c>
      <c r="F1235" s="2">
        <v>80</v>
      </c>
    </row>
    <row r="1236" spans="1:6">
      <c r="A1236" s="1">
        <v>43595</v>
      </c>
      <c r="B1236" t="s">
        <v>1382</v>
      </c>
      <c r="C1236" t="s">
        <v>187</v>
      </c>
      <c r="D1236" t="s">
        <v>159</v>
      </c>
      <c r="E1236" t="s">
        <v>134</v>
      </c>
      <c r="F1236" s="2">
        <v>150</v>
      </c>
    </row>
    <row r="1237" spans="1:6">
      <c r="A1237" s="1">
        <v>43595</v>
      </c>
      <c r="B1237" t="s">
        <v>1383</v>
      </c>
      <c r="C1237" t="s">
        <v>182</v>
      </c>
      <c r="D1237" t="s">
        <v>159</v>
      </c>
      <c r="E1237" t="s">
        <v>134</v>
      </c>
      <c r="F1237" s="2">
        <v>150</v>
      </c>
    </row>
    <row r="1238" spans="1:6">
      <c r="A1238" s="1">
        <v>43595</v>
      </c>
      <c r="B1238" t="s">
        <v>1384</v>
      </c>
      <c r="C1238" t="s">
        <v>136</v>
      </c>
      <c r="D1238" t="s">
        <v>120</v>
      </c>
      <c r="E1238" t="s">
        <v>127</v>
      </c>
      <c r="F1238" s="2">
        <v>90</v>
      </c>
    </row>
    <row r="1239" spans="1:6">
      <c r="A1239" s="1">
        <v>43595</v>
      </c>
      <c r="B1239" t="s">
        <v>1385</v>
      </c>
      <c r="C1239" t="s">
        <v>164</v>
      </c>
      <c r="D1239" t="s">
        <v>130</v>
      </c>
      <c r="E1239" t="s">
        <v>121</v>
      </c>
      <c r="F1239" s="2">
        <v>100</v>
      </c>
    </row>
    <row r="1240" spans="1:6">
      <c r="A1240" s="1">
        <v>43595</v>
      </c>
      <c r="B1240" t="s">
        <v>1386</v>
      </c>
      <c r="C1240" t="s">
        <v>182</v>
      </c>
      <c r="D1240" t="s">
        <v>133</v>
      </c>
      <c r="E1240" t="s">
        <v>121</v>
      </c>
      <c r="F1240" s="2">
        <v>30</v>
      </c>
    </row>
    <row r="1241" spans="1:6">
      <c r="A1241" s="1">
        <v>43596</v>
      </c>
      <c r="B1241" t="s">
        <v>1387</v>
      </c>
      <c r="C1241" t="s">
        <v>223</v>
      </c>
      <c r="D1241" t="s">
        <v>130</v>
      </c>
      <c r="E1241" t="s">
        <v>127</v>
      </c>
      <c r="F1241" s="2">
        <v>100</v>
      </c>
    </row>
    <row r="1242" spans="1:6">
      <c r="A1242" s="1">
        <v>43596</v>
      </c>
      <c r="B1242" t="s">
        <v>1388</v>
      </c>
      <c r="C1242" t="s">
        <v>119</v>
      </c>
      <c r="D1242" t="s">
        <v>126</v>
      </c>
      <c r="E1242" t="s">
        <v>121</v>
      </c>
      <c r="F1242" s="2">
        <v>160</v>
      </c>
    </row>
    <row r="1243" spans="1:6">
      <c r="A1243" s="1">
        <v>43596</v>
      </c>
      <c r="B1243" t="s">
        <v>1389</v>
      </c>
      <c r="C1243" t="s">
        <v>189</v>
      </c>
      <c r="D1243" t="s">
        <v>146</v>
      </c>
      <c r="E1243" t="s">
        <v>121</v>
      </c>
      <c r="F1243" s="2">
        <v>50</v>
      </c>
    </row>
    <row r="1244" spans="1:6">
      <c r="A1244" s="1">
        <v>43596</v>
      </c>
      <c r="B1244" t="s">
        <v>1390</v>
      </c>
      <c r="C1244" t="s">
        <v>143</v>
      </c>
      <c r="D1244" t="s">
        <v>139</v>
      </c>
      <c r="E1244" t="s">
        <v>131</v>
      </c>
      <c r="F1244" s="2">
        <v>80</v>
      </c>
    </row>
    <row r="1245" spans="1:6">
      <c r="A1245" s="1">
        <v>43596</v>
      </c>
      <c r="B1245" t="s">
        <v>1391</v>
      </c>
      <c r="C1245" t="s">
        <v>125</v>
      </c>
      <c r="D1245" t="s">
        <v>130</v>
      </c>
      <c r="E1245" t="s">
        <v>153</v>
      </c>
      <c r="F1245" s="2">
        <v>100</v>
      </c>
    </row>
    <row r="1246" spans="1:6">
      <c r="A1246" s="1">
        <v>43596</v>
      </c>
      <c r="B1246" t="s">
        <v>1392</v>
      </c>
      <c r="C1246" t="s">
        <v>143</v>
      </c>
      <c r="D1246" t="s">
        <v>146</v>
      </c>
      <c r="E1246" t="s">
        <v>127</v>
      </c>
      <c r="F1246" s="2">
        <v>50</v>
      </c>
    </row>
    <row r="1247" spans="1:6">
      <c r="A1247" s="1">
        <v>43596</v>
      </c>
      <c r="B1247" t="s">
        <v>1393</v>
      </c>
      <c r="C1247" t="s">
        <v>152</v>
      </c>
      <c r="D1247" t="s">
        <v>130</v>
      </c>
      <c r="E1247" t="s">
        <v>121</v>
      </c>
      <c r="F1247" s="2">
        <v>100</v>
      </c>
    </row>
    <row r="1248" spans="1:6">
      <c r="A1248" s="1">
        <v>43596</v>
      </c>
      <c r="B1248" t="s">
        <v>1394</v>
      </c>
      <c r="C1248" t="s">
        <v>157</v>
      </c>
      <c r="D1248" t="s">
        <v>159</v>
      </c>
      <c r="E1248" t="s">
        <v>127</v>
      </c>
      <c r="F1248" s="2">
        <v>150</v>
      </c>
    </row>
    <row r="1249" spans="1:6">
      <c r="A1249" s="1">
        <v>43597</v>
      </c>
      <c r="B1249" t="s">
        <v>1395</v>
      </c>
      <c r="C1249" t="s">
        <v>119</v>
      </c>
      <c r="D1249" t="s">
        <v>139</v>
      </c>
      <c r="E1249" t="s">
        <v>127</v>
      </c>
      <c r="F1249" s="2">
        <v>80</v>
      </c>
    </row>
    <row r="1250" spans="1:6">
      <c r="A1250" s="1">
        <v>43597</v>
      </c>
      <c r="B1250" t="s">
        <v>1396</v>
      </c>
      <c r="C1250" t="s">
        <v>152</v>
      </c>
      <c r="D1250" t="s">
        <v>139</v>
      </c>
      <c r="E1250" t="s">
        <v>121</v>
      </c>
      <c r="F1250" s="2">
        <v>80</v>
      </c>
    </row>
    <row r="1251" spans="1:6">
      <c r="A1251" s="1">
        <v>43597</v>
      </c>
      <c r="B1251" t="s">
        <v>1397</v>
      </c>
      <c r="C1251" t="s">
        <v>167</v>
      </c>
      <c r="D1251" t="s">
        <v>133</v>
      </c>
      <c r="E1251" t="s">
        <v>121</v>
      </c>
      <c r="F1251" s="2">
        <v>30</v>
      </c>
    </row>
    <row r="1252" spans="1:6">
      <c r="A1252" s="1">
        <v>43597</v>
      </c>
      <c r="B1252" t="s">
        <v>1398</v>
      </c>
      <c r="C1252" t="s">
        <v>187</v>
      </c>
      <c r="D1252" t="s">
        <v>133</v>
      </c>
      <c r="E1252" t="s">
        <v>127</v>
      </c>
      <c r="F1252" s="2">
        <v>30</v>
      </c>
    </row>
    <row r="1253" spans="1:6">
      <c r="A1253" s="1">
        <v>43597</v>
      </c>
      <c r="B1253" t="s">
        <v>1399</v>
      </c>
      <c r="C1253" t="s">
        <v>187</v>
      </c>
      <c r="D1253" t="s">
        <v>139</v>
      </c>
      <c r="E1253" t="s">
        <v>127</v>
      </c>
      <c r="F1253" s="2">
        <v>80</v>
      </c>
    </row>
    <row r="1254" spans="1:6">
      <c r="A1254" s="1">
        <v>43597</v>
      </c>
      <c r="B1254" t="s">
        <v>1400</v>
      </c>
      <c r="C1254" t="s">
        <v>138</v>
      </c>
      <c r="D1254" t="s">
        <v>126</v>
      </c>
      <c r="E1254" t="s">
        <v>131</v>
      </c>
      <c r="F1254" s="2">
        <v>160</v>
      </c>
    </row>
    <row r="1255" spans="1:6">
      <c r="A1255" s="1">
        <v>43597</v>
      </c>
      <c r="B1255" t="s">
        <v>1401</v>
      </c>
      <c r="C1255" t="s">
        <v>145</v>
      </c>
      <c r="D1255" t="s">
        <v>120</v>
      </c>
      <c r="E1255" t="s">
        <v>127</v>
      </c>
      <c r="F1255" s="2">
        <v>90</v>
      </c>
    </row>
    <row r="1256" spans="1:6">
      <c r="A1256" s="1">
        <v>43597</v>
      </c>
      <c r="B1256" t="s">
        <v>1402</v>
      </c>
      <c r="C1256" t="s">
        <v>136</v>
      </c>
      <c r="D1256" t="s">
        <v>120</v>
      </c>
      <c r="E1256" t="s">
        <v>127</v>
      </c>
      <c r="F1256" s="2">
        <v>90</v>
      </c>
    </row>
    <row r="1257" spans="1:6">
      <c r="A1257" s="1">
        <v>43597</v>
      </c>
      <c r="B1257" t="s">
        <v>1403</v>
      </c>
      <c r="C1257" t="s">
        <v>182</v>
      </c>
      <c r="D1257" t="s">
        <v>130</v>
      </c>
      <c r="E1257" t="s">
        <v>121</v>
      </c>
      <c r="F1257" s="2">
        <v>100</v>
      </c>
    </row>
    <row r="1258" spans="1:6">
      <c r="A1258" s="1">
        <v>43597</v>
      </c>
      <c r="B1258" t="s">
        <v>1404</v>
      </c>
      <c r="C1258" t="s">
        <v>119</v>
      </c>
      <c r="D1258" t="s">
        <v>139</v>
      </c>
      <c r="E1258" t="s">
        <v>153</v>
      </c>
      <c r="F1258" s="2">
        <v>80</v>
      </c>
    </row>
    <row r="1259" spans="1:6">
      <c r="A1259" s="1">
        <v>43598</v>
      </c>
      <c r="B1259" t="s">
        <v>1405</v>
      </c>
      <c r="C1259" t="s">
        <v>189</v>
      </c>
      <c r="D1259" t="s">
        <v>120</v>
      </c>
      <c r="E1259" t="s">
        <v>121</v>
      </c>
      <c r="F1259" s="2">
        <v>90</v>
      </c>
    </row>
    <row r="1260" spans="1:6">
      <c r="A1260" s="1">
        <v>43598</v>
      </c>
      <c r="B1260" t="s">
        <v>1406</v>
      </c>
      <c r="C1260" t="s">
        <v>143</v>
      </c>
      <c r="D1260" t="s">
        <v>146</v>
      </c>
      <c r="E1260" t="s">
        <v>127</v>
      </c>
      <c r="F1260" s="2">
        <v>50</v>
      </c>
    </row>
    <row r="1261" spans="1:6">
      <c r="A1261" s="1">
        <v>43598</v>
      </c>
      <c r="B1261" t="s">
        <v>1407</v>
      </c>
      <c r="C1261" t="s">
        <v>223</v>
      </c>
      <c r="D1261" t="s">
        <v>141</v>
      </c>
      <c r="E1261" t="s">
        <v>134</v>
      </c>
      <c r="F1261" s="2">
        <v>180</v>
      </c>
    </row>
    <row r="1262" spans="1:6">
      <c r="A1262" s="1">
        <v>43598</v>
      </c>
      <c r="B1262" t="s">
        <v>1408</v>
      </c>
      <c r="C1262" t="s">
        <v>143</v>
      </c>
      <c r="D1262" t="s">
        <v>159</v>
      </c>
      <c r="E1262" t="s">
        <v>134</v>
      </c>
      <c r="F1262" s="2">
        <v>150</v>
      </c>
    </row>
    <row r="1263" spans="1:6">
      <c r="A1263" s="1">
        <v>43598</v>
      </c>
      <c r="B1263" t="s">
        <v>1409</v>
      </c>
      <c r="C1263" t="s">
        <v>129</v>
      </c>
      <c r="D1263" t="s">
        <v>130</v>
      </c>
      <c r="E1263" t="s">
        <v>131</v>
      </c>
      <c r="F1263" s="2">
        <v>100</v>
      </c>
    </row>
    <row r="1264" spans="1:6">
      <c r="A1264" s="1">
        <v>43598</v>
      </c>
      <c r="B1264" t="s">
        <v>1410</v>
      </c>
      <c r="C1264" t="s">
        <v>123</v>
      </c>
      <c r="D1264" t="s">
        <v>159</v>
      </c>
      <c r="E1264" t="s">
        <v>127</v>
      </c>
      <c r="F1264" s="2">
        <v>150</v>
      </c>
    </row>
    <row r="1265" spans="1:6">
      <c r="A1265" s="1">
        <v>43598</v>
      </c>
      <c r="B1265" t="s">
        <v>1411</v>
      </c>
      <c r="C1265" t="s">
        <v>148</v>
      </c>
      <c r="D1265" t="s">
        <v>159</v>
      </c>
      <c r="E1265" t="s">
        <v>153</v>
      </c>
      <c r="F1265" s="2">
        <v>150</v>
      </c>
    </row>
    <row r="1266" spans="1:6">
      <c r="A1266" s="1">
        <v>43598</v>
      </c>
      <c r="B1266" t="s">
        <v>1412</v>
      </c>
      <c r="C1266" t="s">
        <v>167</v>
      </c>
      <c r="D1266" t="s">
        <v>139</v>
      </c>
      <c r="E1266" t="s">
        <v>127</v>
      </c>
      <c r="F1266" s="2">
        <v>80</v>
      </c>
    </row>
    <row r="1267" spans="1:6">
      <c r="A1267" s="1">
        <v>43598</v>
      </c>
      <c r="B1267" t="s">
        <v>1413</v>
      </c>
      <c r="C1267" t="s">
        <v>145</v>
      </c>
      <c r="D1267" t="s">
        <v>159</v>
      </c>
      <c r="E1267" t="s">
        <v>153</v>
      </c>
      <c r="F1267" s="2">
        <v>150</v>
      </c>
    </row>
    <row r="1268" spans="1:6">
      <c r="A1268" s="1">
        <v>43598</v>
      </c>
      <c r="B1268" t="s">
        <v>1414</v>
      </c>
      <c r="C1268" t="s">
        <v>119</v>
      </c>
      <c r="D1268" t="s">
        <v>130</v>
      </c>
      <c r="E1268" t="s">
        <v>134</v>
      </c>
      <c r="F1268" s="2">
        <v>100</v>
      </c>
    </row>
    <row r="1269" spans="1:6">
      <c r="A1269" s="1">
        <v>43598</v>
      </c>
      <c r="B1269" t="s">
        <v>1415</v>
      </c>
      <c r="C1269" t="s">
        <v>157</v>
      </c>
      <c r="D1269" t="s">
        <v>126</v>
      </c>
      <c r="E1269" t="s">
        <v>131</v>
      </c>
      <c r="F1269" s="2">
        <v>160</v>
      </c>
    </row>
    <row r="1270" spans="1:6">
      <c r="A1270" s="1">
        <v>43598</v>
      </c>
      <c r="B1270" t="s">
        <v>1416</v>
      </c>
      <c r="C1270" t="s">
        <v>223</v>
      </c>
      <c r="D1270" t="s">
        <v>120</v>
      </c>
      <c r="E1270" t="s">
        <v>121</v>
      </c>
      <c r="F1270" s="2">
        <v>90</v>
      </c>
    </row>
    <row r="1271" spans="1:6">
      <c r="A1271" s="1">
        <v>43599</v>
      </c>
      <c r="B1271" t="s">
        <v>1417</v>
      </c>
      <c r="C1271" t="s">
        <v>223</v>
      </c>
      <c r="D1271" t="s">
        <v>126</v>
      </c>
      <c r="E1271" t="s">
        <v>127</v>
      </c>
      <c r="F1271" s="2">
        <v>160</v>
      </c>
    </row>
    <row r="1272" spans="1:6">
      <c r="A1272" s="1">
        <v>43599</v>
      </c>
      <c r="B1272" t="s">
        <v>1418</v>
      </c>
      <c r="C1272" t="s">
        <v>138</v>
      </c>
      <c r="D1272" t="s">
        <v>146</v>
      </c>
      <c r="E1272" t="s">
        <v>127</v>
      </c>
      <c r="F1272" s="2">
        <v>50</v>
      </c>
    </row>
    <row r="1273" spans="1:6">
      <c r="A1273" s="1">
        <v>43599</v>
      </c>
      <c r="B1273" t="s">
        <v>1419</v>
      </c>
      <c r="C1273" t="s">
        <v>189</v>
      </c>
      <c r="D1273" t="s">
        <v>159</v>
      </c>
      <c r="E1273" t="s">
        <v>127</v>
      </c>
      <c r="F1273" s="2">
        <v>150</v>
      </c>
    </row>
    <row r="1274" spans="1:6">
      <c r="A1274" s="1">
        <v>43599</v>
      </c>
      <c r="B1274" t="s">
        <v>1420</v>
      </c>
      <c r="C1274" t="s">
        <v>152</v>
      </c>
      <c r="D1274" t="s">
        <v>146</v>
      </c>
      <c r="E1274" t="s">
        <v>153</v>
      </c>
      <c r="F1274" s="2">
        <v>50</v>
      </c>
    </row>
    <row r="1275" spans="1:6">
      <c r="A1275" s="1">
        <v>43599</v>
      </c>
      <c r="B1275" t="s">
        <v>1421</v>
      </c>
      <c r="C1275" t="s">
        <v>148</v>
      </c>
      <c r="D1275" t="s">
        <v>159</v>
      </c>
      <c r="E1275" t="s">
        <v>134</v>
      </c>
      <c r="F1275" s="2">
        <v>150</v>
      </c>
    </row>
    <row r="1276" spans="1:6">
      <c r="A1276" s="1">
        <v>43599</v>
      </c>
      <c r="B1276" t="s">
        <v>1422</v>
      </c>
      <c r="C1276" t="s">
        <v>138</v>
      </c>
      <c r="D1276" t="s">
        <v>126</v>
      </c>
      <c r="E1276" t="s">
        <v>134</v>
      </c>
      <c r="F1276" s="2">
        <v>160</v>
      </c>
    </row>
    <row r="1277" spans="1:6">
      <c r="A1277" s="1">
        <v>43599</v>
      </c>
      <c r="B1277" t="s">
        <v>1423</v>
      </c>
      <c r="C1277" t="s">
        <v>223</v>
      </c>
      <c r="D1277" t="s">
        <v>141</v>
      </c>
      <c r="E1277" t="s">
        <v>131</v>
      </c>
      <c r="F1277" s="2">
        <v>180</v>
      </c>
    </row>
    <row r="1278" spans="1:6">
      <c r="A1278" s="1">
        <v>43599</v>
      </c>
      <c r="B1278" t="s">
        <v>1424</v>
      </c>
      <c r="C1278" t="s">
        <v>119</v>
      </c>
      <c r="D1278" t="s">
        <v>126</v>
      </c>
      <c r="E1278" t="s">
        <v>134</v>
      </c>
      <c r="F1278" s="2">
        <v>160</v>
      </c>
    </row>
    <row r="1279" spans="1:6">
      <c r="A1279" s="1">
        <v>43600</v>
      </c>
      <c r="B1279" t="s">
        <v>1425</v>
      </c>
      <c r="C1279" t="s">
        <v>119</v>
      </c>
      <c r="D1279" t="s">
        <v>141</v>
      </c>
      <c r="E1279" t="s">
        <v>153</v>
      </c>
      <c r="F1279" s="2">
        <v>180</v>
      </c>
    </row>
    <row r="1280" spans="1:6">
      <c r="A1280" s="1">
        <v>43600</v>
      </c>
      <c r="B1280" t="s">
        <v>1426</v>
      </c>
      <c r="C1280" t="s">
        <v>189</v>
      </c>
      <c r="D1280" t="s">
        <v>139</v>
      </c>
      <c r="E1280" t="s">
        <v>153</v>
      </c>
      <c r="F1280" s="2">
        <v>80</v>
      </c>
    </row>
    <row r="1281" spans="1:6">
      <c r="A1281" s="1">
        <v>43600</v>
      </c>
      <c r="B1281" t="s">
        <v>1427</v>
      </c>
      <c r="C1281" t="s">
        <v>138</v>
      </c>
      <c r="D1281" t="s">
        <v>141</v>
      </c>
      <c r="E1281" t="s">
        <v>153</v>
      </c>
      <c r="F1281" s="2">
        <v>180</v>
      </c>
    </row>
    <row r="1282" spans="1:6">
      <c r="A1282" s="1">
        <v>43600</v>
      </c>
      <c r="B1282" t="s">
        <v>1428</v>
      </c>
      <c r="C1282" t="s">
        <v>223</v>
      </c>
      <c r="D1282" t="s">
        <v>159</v>
      </c>
      <c r="E1282" t="s">
        <v>131</v>
      </c>
      <c r="F1282" s="2">
        <v>150</v>
      </c>
    </row>
    <row r="1283" spans="1:6">
      <c r="A1283" s="1">
        <v>43600</v>
      </c>
      <c r="B1283" t="s">
        <v>1429</v>
      </c>
      <c r="C1283" t="s">
        <v>152</v>
      </c>
      <c r="D1283" t="s">
        <v>141</v>
      </c>
      <c r="E1283" t="s">
        <v>121</v>
      </c>
      <c r="F1283" s="2">
        <v>180</v>
      </c>
    </row>
    <row r="1284" spans="1:6">
      <c r="A1284" s="1">
        <v>43600</v>
      </c>
      <c r="B1284" t="s">
        <v>1430</v>
      </c>
      <c r="C1284" t="s">
        <v>223</v>
      </c>
      <c r="D1284" t="s">
        <v>159</v>
      </c>
      <c r="E1284" t="s">
        <v>121</v>
      </c>
      <c r="F1284" s="2">
        <v>150</v>
      </c>
    </row>
    <row r="1285" spans="1:6">
      <c r="A1285" s="1">
        <v>43600</v>
      </c>
      <c r="B1285" t="s">
        <v>1431</v>
      </c>
      <c r="C1285" t="s">
        <v>157</v>
      </c>
      <c r="D1285" t="s">
        <v>133</v>
      </c>
      <c r="E1285" t="s">
        <v>153</v>
      </c>
      <c r="F1285" s="2">
        <v>30</v>
      </c>
    </row>
    <row r="1286" spans="1:6">
      <c r="A1286" s="1">
        <v>43600</v>
      </c>
      <c r="B1286" t="s">
        <v>1432</v>
      </c>
      <c r="C1286" t="s">
        <v>138</v>
      </c>
      <c r="D1286" t="s">
        <v>130</v>
      </c>
      <c r="E1286" t="s">
        <v>131</v>
      </c>
      <c r="F1286" s="2">
        <v>100</v>
      </c>
    </row>
    <row r="1287" spans="1:6">
      <c r="A1287" s="1">
        <v>43600</v>
      </c>
      <c r="B1287" t="s">
        <v>1433</v>
      </c>
      <c r="C1287" t="s">
        <v>164</v>
      </c>
      <c r="D1287" t="s">
        <v>141</v>
      </c>
      <c r="E1287" t="s">
        <v>131</v>
      </c>
      <c r="F1287" s="2">
        <v>180</v>
      </c>
    </row>
    <row r="1288" spans="1:6">
      <c r="A1288" s="1">
        <v>43600</v>
      </c>
      <c r="B1288" t="s">
        <v>1434</v>
      </c>
      <c r="C1288" t="s">
        <v>143</v>
      </c>
      <c r="D1288" t="s">
        <v>159</v>
      </c>
      <c r="E1288" t="s">
        <v>127</v>
      </c>
      <c r="F1288" s="2">
        <v>150</v>
      </c>
    </row>
    <row r="1289" spans="1:6">
      <c r="A1289" s="1">
        <v>43600</v>
      </c>
      <c r="B1289" t="s">
        <v>1435</v>
      </c>
      <c r="C1289" t="s">
        <v>187</v>
      </c>
      <c r="D1289" t="s">
        <v>141</v>
      </c>
      <c r="E1289" t="s">
        <v>131</v>
      </c>
      <c r="F1289" s="2">
        <v>180</v>
      </c>
    </row>
    <row r="1290" spans="1:6">
      <c r="A1290" s="1">
        <v>43601</v>
      </c>
      <c r="B1290" t="s">
        <v>1436</v>
      </c>
      <c r="C1290" t="s">
        <v>187</v>
      </c>
      <c r="D1290" t="s">
        <v>141</v>
      </c>
      <c r="E1290" t="s">
        <v>153</v>
      </c>
      <c r="F1290" s="2">
        <v>180</v>
      </c>
    </row>
    <row r="1291" spans="1:6">
      <c r="A1291" s="1">
        <v>43601</v>
      </c>
      <c r="B1291" t="s">
        <v>1437</v>
      </c>
      <c r="C1291" t="s">
        <v>119</v>
      </c>
      <c r="D1291" t="s">
        <v>133</v>
      </c>
      <c r="E1291" t="s">
        <v>121</v>
      </c>
      <c r="F1291" s="2">
        <v>30</v>
      </c>
    </row>
    <row r="1292" spans="1:6">
      <c r="A1292" s="1">
        <v>43601</v>
      </c>
      <c r="B1292" t="s">
        <v>1438</v>
      </c>
      <c r="C1292" t="s">
        <v>223</v>
      </c>
      <c r="D1292" t="s">
        <v>130</v>
      </c>
      <c r="E1292" t="s">
        <v>121</v>
      </c>
      <c r="F1292" s="2">
        <v>100</v>
      </c>
    </row>
    <row r="1293" spans="1:6">
      <c r="A1293" s="1">
        <v>43601</v>
      </c>
      <c r="B1293" t="s">
        <v>1439</v>
      </c>
      <c r="C1293" t="s">
        <v>164</v>
      </c>
      <c r="D1293" t="s">
        <v>120</v>
      </c>
      <c r="E1293" t="s">
        <v>153</v>
      </c>
      <c r="F1293" s="2">
        <v>90</v>
      </c>
    </row>
    <row r="1294" spans="1:6">
      <c r="A1294" s="1">
        <v>43601</v>
      </c>
      <c r="B1294" t="s">
        <v>1440</v>
      </c>
      <c r="C1294" t="s">
        <v>157</v>
      </c>
      <c r="D1294" t="s">
        <v>133</v>
      </c>
      <c r="E1294" t="s">
        <v>121</v>
      </c>
      <c r="F1294" s="2">
        <v>30</v>
      </c>
    </row>
    <row r="1295" spans="1:6">
      <c r="A1295" s="1">
        <v>43601</v>
      </c>
      <c r="B1295" t="s">
        <v>1441</v>
      </c>
      <c r="C1295" t="s">
        <v>223</v>
      </c>
      <c r="D1295" t="s">
        <v>159</v>
      </c>
      <c r="E1295" t="s">
        <v>127</v>
      </c>
      <c r="F1295" s="2">
        <v>150</v>
      </c>
    </row>
    <row r="1296" spans="1:6">
      <c r="A1296" s="1">
        <v>43601</v>
      </c>
      <c r="B1296" t="s">
        <v>1442</v>
      </c>
      <c r="C1296" t="s">
        <v>129</v>
      </c>
      <c r="D1296" t="s">
        <v>146</v>
      </c>
      <c r="E1296" t="s">
        <v>134</v>
      </c>
      <c r="F1296" s="2">
        <v>50</v>
      </c>
    </row>
    <row r="1297" spans="1:6">
      <c r="A1297" s="1">
        <v>43601</v>
      </c>
      <c r="B1297" t="s">
        <v>1443</v>
      </c>
      <c r="C1297" t="s">
        <v>152</v>
      </c>
      <c r="D1297" t="s">
        <v>159</v>
      </c>
      <c r="E1297" t="s">
        <v>127</v>
      </c>
      <c r="F1297" s="2">
        <v>150</v>
      </c>
    </row>
    <row r="1298" spans="1:6">
      <c r="A1298" s="1">
        <v>43601</v>
      </c>
      <c r="B1298" t="s">
        <v>1444</v>
      </c>
      <c r="C1298" t="s">
        <v>164</v>
      </c>
      <c r="D1298" t="s">
        <v>146</v>
      </c>
      <c r="E1298" t="s">
        <v>131</v>
      </c>
      <c r="F1298" s="2">
        <v>50</v>
      </c>
    </row>
    <row r="1299" spans="1:6">
      <c r="A1299" s="1">
        <v>43601</v>
      </c>
      <c r="B1299" t="s">
        <v>1445</v>
      </c>
      <c r="C1299" t="s">
        <v>148</v>
      </c>
      <c r="D1299" t="s">
        <v>139</v>
      </c>
      <c r="E1299" t="s">
        <v>127</v>
      </c>
      <c r="F1299" s="2">
        <v>80</v>
      </c>
    </row>
    <row r="1300" spans="1:6">
      <c r="A1300" s="1">
        <v>43602</v>
      </c>
      <c r="B1300" t="s">
        <v>1446</v>
      </c>
      <c r="C1300" t="s">
        <v>136</v>
      </c>
      <c r="D1300" t="s">
        <v>130</v>
      </c>
      <c r="E1300" t="s">
        <v>131</v>
      </c>
      <c r="F1300" s="2">
        <v>100</v>
      </c>
    </row>
    <row r="1301" spans="1:6">
      <c r="A1301" s="1">
        <v>43602</v>
      </c>
      <c r="B1301" t="s">
        <v>1447</v>
      </c>
      <c r="C1301" t="s">
        <v>138</v>
      </c>
      <c r="D1301" t="s">
        <v>133</v>
      </c>
      <c r="E1301" t="s">
        <v>121</v>
      </c>
      <c r="F1301" s="2">
        <v>30</v>
      </c>
    </row>
    <row r="1302" spans="1:6">
      <c r="A1302" s="1">
        <v>43602</v>
      </c>
      <c r="B1302" t="s">
        <v>1448</v>
      </c>
      <c r="C1302" t="s">
        <v>187</v>
      </c>
      <c r="D1302" t="s">
        <v>130</v>
      </c>
      <c r="E1302" t="s">
        <v>127</v>
      </c>
      <c r="F1302" s="2">
        <v>100</v>
      </c>
    </row>
    <row r="1303" spans="1:6">
      <c r="A1303" s="1">
        <v>43602</v>
      </c>
      <c r="B1303" t="s">
        <v>1449</v>
      </c>
      <c r="C1303" t="s">
        <v>138</v>
      </c>
      <c r="D1303" t="s">
        <v>139</v>
      </c>
      <c r="E1303" t="s">
        <v>134</v>
      </c>
      <c r="F1303" s="2">
        <v>80</v>
      </c>
    </row>
    <row r="1304" spans="1:6">
      <c r="A1304" s="1">
        <v>43602</v>
      </c>
      <c r="B1304" t="s">
        <v>1450</v>
      </c>
      <c r="C1304" t="s">
        <v>136</v>
      </c>
      <c r="D1304" t="s">
        <v>126</v>
      </c>
      <c r="E1304" t="s">
        <v>131</v>
      </c>
      <c r="F1304" s="2">
        <v>160</v>
      </c>
    </row>
    <row r="1305" spans="1:6">
      <c r="A1305" s="1">
        <v>43602</v>
      </c>
      <c r="B1305" t="s">
        <v>1451</v>
      </c>
      <c r="C1305" t="s">
        <v>189</v>
      </c>
      <c r="D1305" t="s">
        <v>141</v>
      </c>
      <c r="E1305" t="s">
        <v>121</v>
      </c>
      <c r="F1305" s="2">
        <v>180</v>
      </c>
    </row>
    <row r="1306" spans="1:6">
      <c r="A1306" s="1">
        <v>43602</v>
      </c>
      <c r="B1306" t="s">
        <v>1452</v>
      </c>
      <c r="C1306" t="s">
        <v>152</v>
      </c>
      <c r="D1306" t="s">
        <v>130</v>
      </c>
      <c r="E1306" t="s">
        <v>153</v>
      </c>
      <c r="F1306" s="2">
        <v>100</v>
      </c>
    </row>
    <row r="1307" spans="1:6">
      <c r="A1307" s="1">
        <v>43602</v>
      </c>
      <c r="B1307" t="s">
        <v>1453</v>
      </c>
      <c r="C1307" t="s">
        <v>123</v>
      </c>
      <c r="D1307" t="s">
        <v>120</v>
      </c>
      <c r="E1307" t="s">
        <v>127</v>
      </c>
      <c r="F1307" s="2">
        <v>90</v>
      </c>
    </row>
    <row r="1308" spans="1:6">
      <c r="A1308" s="1">
        <v>43603</v>
      </c>
      <c r="B1308" t="s">
        <v>1454</v>
      </c>
      <c r="C1308" t="s">
        <v>152</v>
      </c>
      <c r="D1308" t="s">
        <v>130</v>
      </c>
      <c r="E1308" t="s">
        <v>127</v>
      </c>
      <c r="F1308" s="2">
        <v>100</v>
      </c>
    </row>
    <row r="1309" spans="1:6">
      <c r="A1309" s="1">
        <v>43603</v>
      </c>
      <c r="B1309" t="s">
        <v>1455</v>
      </c>
      <c r="C1309" t="s">
        <v>187</v>
      </c>
      <c r="D1309" t="s">
        <v>130</v>
      </c>
      <c r="E1309" t="s">
        <v>127</v>
      </c>
      <c r="F1309" s="2">
        <v>100</v>
      </c>
    </row>
    <row r="1310" spans="1:6">
      <c r="A1310" s="1">
        <v>43603</v>
      </c>
      <c r="B1310" t="s">
        <v>1456</v>
      </c>
      <c r="C1310" t="s">
        <v>129</v>
      </c>
      <c r="D1310" t="s">
        <v>141</v>
      </c>
      <c r="E1310" t="s">
        <v>134</v>
      </c>
      <c r="F1310" s="2">
        <v>180</v>
      </c>
    </row>
    <row r="1311" spans="1:6">
      <c r="A1311" s="1">
        <v>43603</v>
      </c>
      <c r="B1311" t="s">
        <v>1457</v>
      </c>
      <c r="C1311" t="s">
        <v>152</v>
      </c>
      <c r="D1311" t="s">
        <v>126</v>
      </c>
      <c r="E1311" t="s">
        <v>153</v>
      </c>
      <c r="F1311" s="2">
        <v>160</v>
      </c>
    </row>
    <row r="1312" spans="1:6">
      <c r="A1312" s="1">
        <v>43603</v>
      </c>
      <c r="B1312" t="s">
        <v>1458</v>
      </c>
      <c r="C1312" t="s">
        <v>123</v>
      </c>
      <c r="D1312" t="s">
        <v>139</v>
      </c>
      <c r="E1312" t="s">
        <v>134</v>
      </c>
      <c r="F1312" s="2">
        <v>80</v>
      </c>
    </row>
    <row r="1313" spans="1:6">
      <c r="A1313" s="1">
        <v>43603</v>
      </c>
      <c r="B1313" t="s">
        <v>1459</v>
      </c>
      <c r="C1313" t="s">
        <v>164</v>
      </c>
      <c r="D1313" t="s">
        <v>126</v>
      </c>
      <c r="E1313" t="s">
        <v>134</v>
      </c>
      <c r="F1313" s="2">
        <v>160</v>
      </c>
    </row>
    <row r="1314" spans="1:6">
      <c r="A1314" s="1">
        <v>43603</v>
      </c>
      <c r="B1314" t="s">
        <v>1460</v>
      </c>
      <c r="C1314" t="s">
        <v>148</v>
      </c>
      <c r="D1314" t="s">
        <v>159</v>
      </c>
      <c r="E1314" t="s">
        <v>127</v>
      </c>
      <c r="F1314" s="2">
        <v>150</v>
      </c>
    </row>
    <row r="1315" spans="1:6">
      <c r="A1315" s="1">
        <v>43603</v>
      </c>
      <c r="B1315" t="s">
        <v>1461</v>
      </c>
      <c r="C1315" t="s">
        <v>136</v>
      </c>
      <c r="D1315" t="s">
        <v>126</v>
      </c>
      <c r="E1315" t="s">
        <v>121</v>
      </c>
      <c r="F1315" s="2">
        <v>160</v>
      </c>
    </row>
    <row r="1316" spans="1:6">
      <c r="A1316" s="1">
        <v>43603</v>
      </c>
      <c r="B1316" t="s">
        <v>1462</v>
      </c>
      <c r="C1316" t="s">
        <v>157</v>
      </c>
      <c r="D1316" t="s">
        <v>130</v>
      </c>
      <c r="E1316" t="s">
        <v>127</v>
      </c>
      <c r="F1316" s="2">
        <v>100</v>
      </c>
    </row>
    <row r="1317" spans="1:6">
      <c r="A1317" s="1">
        <v>43603</v>
      </c>
      <c r="B1317" t="s">
        <v>1463</v>
      </c>
      <c r="C1317" t="s">
        <v>129</v>
      </c>
      <c r="D1317" t="s">
        <v>126</v>
      </c>
      <c r="E1317" t="s">
        <v>131</v>
      </c>
      <c r="F1317" s="2">
        <v>160</v>
      </c>
    </row>
    <row r="1318" spans="1:6">
      <c r="A1318" s="1">
        <v>43603</v>
      </c>
      <c r="B1318" t="s">
        <v>1464</v>
      </c>
      <c r="C1318" t="s">
        <v>123</v>
      </c>
      <c r="D1318" t="s">
        <v>141</v>
      </c>
      <c r="E1318" t="s">
        <v>153</v>
      </c>
      <c r="F1318" s="2">
        <v>180</v>
      </c>
    </row>
    <row r="1319" spans="1:6">
      <c r="A1319" s="1">
        <v>43603</v>
      </c>
      <c r="B1319" t="s">
        <v>1465</v>
      </c>
      <c r="C1319" t="s">
        <v>223</v>
      </c>
      <c r="D1319" t="s">
        <v>130</v>
      </c>
      <c r="E1319" t="s">
        <v>127</v>
      </c>
      <c r="F1319" s="2">
        <v>100</v>
      </c>
    </row>
    <row r="1320" spans="1:6">
      <c r="A1320" s="1">
        <v>43603</v>
      </c>
      <c r="B1320" t="s">
        <v>1466</v>
      </c>
      <c r="C1320" t="s">
        <v>148</v>
      </c>
      <c r="D1320" t="s">
        <v>141</v>
      </c>
      <c r="E1320" t="s">
        <v>127</v>
      </c>
      <c r="F1320" s="2">
        <v>180</v>
      </c>
    </row>
    <row r="1321" spans="1:6">
      <c r="A1321" s="1">
        <v>43604</v>
      </c>
      <c r="B1321" t="s">
        <v>1467</v>
      </c>
      <c r="C1321" t="s">
        <v>189</v>
      </c>
      <c r="D1321" t="s">
        <v>146</v>
      </c>
      <c r="E1321" t="s">
        <v>127</v>
      </c>
      <c r="F1321" s="2">
        <v>50</v>
      </c>
    </row>
    <row r="1322" spans="1:6">
      <c r="A1322" s="1">
        <v>43604</v>
      </c>
      <c r="B1322" t="s">
        <v>1468</v>
      </c>
      <c r="C1322" t="s">
        <v>119</v>
      </c>
      <c r="D1322" t="s">
        <v>130</v>
      </c>
      <c r="E1322" t="s">
        <v>131</v>
      </c>
      <c r="F1322" s="2">
        <v>100</v>
      </c>
    </row>
    <row r="1323" spans="1:6">
      <c r="A1323" s="1">
        <v>43604</v>
      </c>
      <c r="B1323" t="s">
        <v>1469</v>
      </c>
      <c r="C1323" t="s">
        <v>152</v>
      </c>
      <c r="D1323" t="s">
        <v>133</v>
      </c>
      <c r="E1323" t="s">
        <v>131</v>
      </c>
      <c r="F1323" s="2">
        <v>30</v>
      </c>
    </row>
    <row r="1324" spans="1:6">
      <c r="A1324" s="1">
        <v>43604</v>
      </c>
      <c r="B1324" t="s">
        <v>1470</v>
      </c>
      <c r="C1324" t="s">
        <v>223</v>
      </c>
      <c r="D1324" t="s">
        <v>120</v>
      </c>
      <c r="E1324" t="s">
        <v>134</v>
      </c>
      <c r="F1324" s="2">
        <v>90</v>
      </c>
    </row>
    <row r="1325" spans="1:6">
      <c r="A1325" s="1">
        <v>43604</v>
      </c>
      <c r="B1325" t="s">
        <v>1471</v>
      </c>
      <c r="C1325" t="s">
        <v>187</v>
      </c>
      <c r="D1325" t="s">
        <v>159</v>
      </c>
      <c r="E1325" t="s">
        <v>153</v>
      </c>
      <c r="F1325" s="2">
        <v>150</v>
      </c>
    </row>
    <row r="1326" spans="1:6">
      <c r="A1326" s="1">
        <v>43604</v>
      </c>
      <c r="B1326" t="s">
        <v>1472</v>
      </c>
      <c r="C1326" t="s">
        <v>152</v>
      </c>
      <c r="D1326" t="s">
        <v>126</v>
      </c>
      <c r="E1326" t="s">
        <v>121</v>
      </c>
      <c r="F1326" s="2">
        <v>160</v>
      </c>
    </row>
    <row r="1327" spans="1:6">
      <c r="A1327" s="1">
        <v>43604</v>
      </c>
      <c r="B1327" t="s">
        <v>1473</v>
      </c>
      <c r="C1327" t="s">
        <v>152</v>
      </c>
      <c r="D1327" t="s">
        <v>159</v>
      </c>
      <c r="E1327" t="s">
        <v>121</v>
      </c>
      <c r="F1327" s="2">
        <v>150</v>
      </c>
    </row>
    <row r="1328" spans="1:6">
      <c r="A1328" s="1">
        <v>43604</v>
      </c>
      <c r="B1328" t="s">
        <v>1474</v>
      </c>
      <c r="C1328" t="s">
        <v>136</v>
      </c>
      <c r="D1328" t="s">
        <v>126</v>
      </c>
      <c r="E1328" t="s">
        <v>127</v>
      </c>
      <c r="F1328" s="2">
        <v>160</v>
      </c>
    </row>
    <row r="1329" spans="1:6">
      <c r="A1329" s="1">
        <v>43604</v>
      </c>
      <c r="B1329" t="s">
        <v>1475</v>
      </c>
      <c r="C1329" t="s">
        <v>119</v>
      </c>
      <c r="D1329" t="s">
        <v>141</v>
      </c>
      <c r="E1329" t="s">
        <v>127</v>
      </c>
      <c r="F1329" s="2">
        <v>180</v>
      </c>
    </row>
    <row r="1330" spans="1:6">
      <c r="A1330" s="1">
        <v>43604</v>
      </c>
      <c r="B1330" t="s">
        <v>1476</v>
      </c>
      <c r="C1330" t="s">
        <v>157</v>
      </c>
      <c r="D1330" t="s">
        <v>159</v>
      </c>
      <c r="E1330" t="s">
        <v>153</v>
      </c>
      <c r="F1330" s="2">
        <v>150</v>
      </c>
    </row>
    <row r="1331" spans="1:6">
      <c r="A1331" s="1">
        <v>43604</v>
      </c>
      <c r="B1331" t="s">
        <v>1477</v>
      </c>
      <c r="C1331" t="s">
        <v>143</v>
      </c>
      <c r="D1331" t="s">
        <v>141</v>
      </c>
      <c r="E1331" t="s">
        <v>127</v>
      </c>
      <c r="F1331" s="2">
        <v>180</v>
      </c>
    </row>
    <row r="1332" spans="1:6">
      <c r="A1332" s="1">
        <v>43604</v>
      </c>
      <c r="B1332" t="s">
        <v>1478</v>
      </c>
      <c r="C1332" t="s">
        <v>119</v>
      </c>
      <c r="D1332" t="s">
        <v>139</v>
      </c>
      <c r="E1332" t="s">
        <v>121</v>
      </c>
      <c r="F1332" s="2">
        <v>80</v>
      </c>
    </row>
    <row r="1333" spans="1:6">
      <c r="A1333" s="1">
        <v>43604</v>
      </c>
      <c r="B1333" t="s">
        <v>1479</v>
      </c>
      <c r="C1333" t="s">
        <v>189</v>
      </c>
      <c r="D1333" t="s">
        <v>120</v>
      </c>
      <c r="E1333" t="s">
        <v>134</v>
      </c>
      <c r="F1333" s="2">
        <v>90</v>
      </c>
    </row>
    <row r="1334" spans="1:6">
      <c r="A1334" s="1">
        <v>43604</v>
      </c>
      <c r="B1334" t="s">
        <v>1480</v>
      </c>
      <c r="C1334" t="s">
        <v>119</v>
      </c>
      <c r="D1334" t="s">
        <v>130</v>
      </c>
      <c r="E1334" t="s">
        <v>127</v>
      </c>
      <c r="F1334" s="2">
        <v>100</v>
      </c>
    </row>
    <row r="1335" spans="1:6">
      <c r="A1335" s="1">
        <v>43604</v>
      </c>
      <c r="B1335" t="s">
        <v>1481</v>
      </c>
      <c r="C1335" t="s">
        <v>182</v>
      </c>
      <c r="D1335" t="s">
        <v>130</v>
      </c>
      <c r="E1335" t="s">
        <v>121</v>
      </c>
      <c r="F1335" s="2">
        <v>100</v>
      </c>
    </row>
    <row r="1336" spans="1:6">
      <c r="A1336" s="1">
        <v>43605</v>
      </c>
      <c r="B1336" t="s">
        <v>1482</v>
      </c>
      <c r="C1336" t="s">
        <v>129</v>
      </c>
      <c r="D1336" t="s">
        <v>133</v>
      </c>
      <c r="E1336" t="s">
        <v>121</v>
      </c>
      <c r="F1336" s="2">
        <v>30</v>
      </c>
    </row>
    <row r="1337" spans="1:6">
      <c r="A1337" s="1">
        <v>43605</v>
      </c>
      <c r="B1337" t="s">
        <v>1483</v>
      </c>
      <c r="C1337" t="s">
        <v>223</v>
      </c>
      <c r="D1337" t="s">
        <v>126</v>
      </c>
      <c r="E1337" t="s">
        <v>134</v>
      </c>
      <c r="F1337" s="2">
        <v>160</v>
      </c>
    </row>
    <row r="1338" spans="1:6">
      <c r="A1338" s="1">
        <v>43605</v>
      </c>
      <c r="B1338" t="s">
        <v>1484</v>
      </c>
      <c r="C1338" t="s">
        <v>143</v>
      </c>
      <c r="D1338" t="s">
        <v>146</v>
      </c>
      <c r="E1338" t="s">
        <v>127</v>
      </c>
      <c r="F1338" s="2">
        <v>50</v>
      </c>
    </row>
    <row r="1339" spans="1:6">
      <c r="A1339" s="1">
        <v>43605</v>
      </c>
      <c r="B1339" t="s">
        <v>1485</v>
      </c>
      <c r="C1339" t="s">
        <v>125</v>
      </c>
      <c r="D1339" t="s">
        <v>146</v>
      </c>
      <c r="E1339" t="s">
        <v>127</v>
      </c>
      <c r="F1339" s="2">
        <v>50</v>
      </c>
    </row>
    <row r="1340" spans="1:6">
      <c r="A1340" s="1">
        <v>43605</v>
      </c>
      <c r="B1340" t="s">
        <v>1486</v>
      </c>
      <c r="C1340" t="s">
        <v>164</v>
      </c>
      <c r="D1340" t="s">
        <v>139</v>
      </c>
      <c r="E1340" t="s">
        <v>121</v>
      </c>
      <c r="F1340" s="2">
        <v>80</v>
      </c>
    </row>
    <row r="1341" spans="1:6">
      <c r="A1341" s="1">
        <v>43605</v>
      </c>
      <c r="B1341" t="s">
        <v>1487</v>
      </c>
      <c r="C1341" t="s">
        <v>129</v>
      </c>
      <c r="D1341" t="s">
        <v>120</v>
      </c>
      <c r="E1341" t="s">
        <v>121</v>
      </c>
      <c r="F1341" s="2">
        <v>90</v>
      </c>
    </row>
    <row r="1342" spans="1:6">
      <c r="A1342" s="1">
        <v>43605</v>
      </c>
      <c r="B1342" t="s">
        <v>1488</v>
      </c>
      <c r="C1342" t="s">
        <v>119</v>
      </c>
      <c r="D1342" t="s">
        <v>120</v>
      </c>
      <c r="E1342" t="s">
        <v>131</v>
      </c>
      <c r="F1342" s="2">
        <v>90</v>
      </c>
    </row>
    <row r="1343" spans="1:6">
      <c r="A1343" s="1">
        <v>43605</v>
      </c>
      <c r="B1343" t="s">
        <v>1489</v>
      </c>
      <c r="C1343" t="s">
        <v>189</v>
      </c>
      <c r="D1343" t="s">
        <v>130</v>
      </c>
      <c r="E1343" t="s">
        <v>127</v>
      </c>
      <c r="F1343" s="2">
        <v>100</v>
      </c>
    </row>
    <row r="1344" spans="1:6">
      <c r="A1344" s="1">
        <v>43605</v>
      </c>
      <c r="B1344" t="s">
        <v>1490</v>
      </c>
      <c r="C1344" t="s">
        <v>138</v>
      </c>
      <c r="D1344" t="s">
        <v>133</v>
      </c>
      <c r="E1344" t="s">
        <v>134</v>
      </c>
      <c r="F1344" s="2">
        <v>30</v>
      </c>
    </row>
    <row r="1345" spans="1:6">
      <c r="A1345" s="1">
        <v>43606</v>
      </c>
      <c r="B1345" t="s">
        <v>1491</v>
      </c>
      <c r="C1345" t="s">
        <v>125</v>
      </c>
      <c r="D1345" t="s">
        <v>159</v>
      </c>
      <c r="E1345" t="s">
        <v>131</v>
      </c>
      <c r="F1345" s="2">
        <v>150</v>
      </c>
    </row>
    <row r="1346" spans="1:6">
      <c r="A1346" s="1">
        <v>43606</v>
      </c>
      <c r="B1346" t="s">
        <v>1492</v>
      </c>
      <c r="C1346" t="s">
        <v>143</v>
      </c>
      <c r="D1346" t="s">
        <v>146</v>
      </c>
      <c r="E1346" t="s">
        <v>134</v>
      </c>
      <c r="F1346" s="2">
        <v>50</v>
      </c>
    </row>
    <row r="1347" spans="1:6">
      <c r="A1347" s="1">
        <v>43606</v>
      </c>
      <c r="B1347" t="s">
        <v>1493</v>
      </c>
      <c r="C1347" t="s">
        <v>189</v>
      </c>
      <c r="D1347" t="s">
        <v>120</v>
      </c>
      <c r="E1347" t="s">
        <v>127</v>
      </c>
      <c r="F1347" s="2">
        <v>90</v>
      </c>
    </row>
    <row r="1348" spans="1:6">
      <c r="A1348" s="1">
        <v>43606</v>
      </c>
      <c r="B1348" t="s">
        <v>1494</v>
      </c>
      <c r="C1348" t="s">
        <v>157</v>
      </c>
      <c r="D1348" t="s">
        <v>133</v>
      </c>
      <c r="E1348" t="s">
        <v>134</v>
      </c>
      <c r="F1348" s="2">
        <v>30</v>
      </c>
    </row>
    <row r="1349" spans="1:6">
      <c r="A1349" s="1">
        <v>43606</v>
      </c>
      <c r="B1349" t="s">
        <v>1495</v>
      </c>
      <c r="C1349" t="s">
        <v>145</v>
      </c>
      <c r="D1349" t="s">
        <v>139</v>
      </c>
      <c r="E1349" t="s">
        <v>153</v>
      </c>
      <c r="F1349" s="2">
        <v>80</v>
      </c>
    </row>
    <row r="1350" spans="1:6">
      <c r="A1350" s="1">
        <v>43606</v>
      </c>
      <c r="B1350" t="s">
        <v>1496</v>
      </c>
      <c r="C1350" t="s">
        <v>167</v>
      </c>
      <c r="D1350" t="s">
        <v>159</v>
      </c>
      <c r="E1350" t="s">
        <v>127</v>
      </c>
      <c r="F1350" s="2">
        <v>150</v>
      </c>
    </row>
    <row r="1351" spans="1:6">
      <c r="A1351" s="1">
        <v>43606</v>
      </c>
      <c r="B1351" t="s">
        <v>1497</v>
      </c>
      <c r="C1351" t="s">
        <v>138</v>
      </c>
      <c r="D1351" t="s">
        <v>120</v>
      </c>
      <c r="E1351" t="s">
        <v>127</v>
      </c>
      <c r="F1351" s="2">
        <v>90</v>
      </c>
    </row>
    <row r="1352" spans="1:6">
      <c r="A1352" s="1">
        <v>43606</v>
      </c>
      <c r="B1352" t="s">
        <v>1498</v>
      </c>
      <c r="C1352" t="s">
        <v>119</v>
      </c>
      <c r="D1352" t="s">
        <v>141</v>
      </c>
      <c r="E1352" t="s">
        <v>153</v>
      </c>
      <c r="F1352" s="2">
        <v>180</v>
      </c>
    </row>
    <row r="1353" spans="1:6">
      <c r="A1353" s="1">
        <v>43606</v>
      </c>
      <c r="B1353" t="s">
        <v>1499</v>
      </c>
      <c r="C1353" t="s">
        <v>143</v>
      </c>
      <c r="D1353" t="s">
        <v>133</v>
      </c>
      <c r="E1353" t="s">
        <v>134</v>
      </c>
      <c r="F1353" s="2">
        <v>30</v>
      </c>
    </row>
    <row r="1354" spans="1:6">
      <c r="A1354" s="1">
        <v>43606</v>
      </c>
      <c r="B1354" t="s">
        <v>1500</v>
      </c>
      <c r="C1354" t="s">
        <v>167</v>
      </c>
      <c r="D1354" t="s">
        <v>130</v>
      </c>
      <c r="E1354" t="s">
        <v>127</v>
      </c>
      <c r="F1354" s="2">
        <v>100</v>
      </c>
    </row>
    <row r="1355" spans="1:6">
      <c r="A1355" s="1">
        <v>43606</v>
      </c>
      <c r="B1355" t="s">
        <v>1501</v>
      </c>
      <c r="C1355" t="s">
        <v>164</v>
      </c>
      <c r="D1355" t="s">
        <v>133</v>
      </c>
      <c r="E1355" t="s">
        <v>127</v>
      </c>
      <c r="F1355" s="2">
        <v>30</v>
      </c>
    </row>
    <row r="1356" spans="1:6">
      <c r="A1356" s="1">
        <v>43606</v>
      </c>
      <c r="B1356" t="s">
        <v>1502</v>
      </c>
      <c r="C1356" t="s">
        <v>119</v>
      </c>
      <c r="D1356" t="s">
        <v>159</v>
      </c>
      <c r="E1356" t="s">
        <v>134</v>
      </c>
      <c r="F1356" s="2">
        <v>150</v>
      </c>
    </row>
    <row r="1357" spans="1:6">
      <c r="A1357" s="1">
        <v>43606</v>
      </c>
      <c r="B1357" t="s">
        <v>1503</v>
      </c>
      <c r="C1357" t="s">
        <v>182</v>
      </c>
      <c r="D1357" t="s">
        <v>139</v>
      </c>
      <c r="E1357" t="s">
        <v>131</v>
      </c>
      <c r="F1357" s="2">
        <v>80</v>
      </c>
    </row>
    <row r="1358" spans="1:6">
      <c r="A1358" s="1">
        <v>43606</v>
      </c>
      <c r="B1358" t="s">
        <v>1504</v>
      </c>
      <c r="C1358" t="s">
        <v>223</v>
      </c>
      <c r="D1358" t="s">
        <v>159</v>
      </c>
      <c r="E1358" t="s">
        <v>127</v>
      </c>
      <c r="F1358" s="2">
        <v>150</v>
      </c>
    </row>
    <row r="1359" spans="1:6">
      <c r="A1359" s="1">
        <v>43606</v>
      </c>
      <c r="B1359" t="s">
        <v>1505</v>
      </c>
      <c r="C1359" t="s">
        <v>152</v>
      </c>
      <c r="D1359" t="s">
        <v>133</v>
      </c>
      <c r="E1359" t="s">
        <v>134</v>
      </c>
      <c r="F1359" s="2">
        <v>30</v>
      </c>
    </row>
    <row r="1360" spans="1:6">
      <c r="A1360" s="1">
        <v>43606</v>
      </c>
      <c r="B1360" t="s">
        <v>1506</v>
      </c>
      <c r="C1360" t="s">
        <v>145</v>
      </c>
      <c r="D1360" t="s">
        <v>120</v>
      </c>
      <c r="E1360" t="s">
        <v>134</v>
      </c>
      <c r="F1360" s="2">
        <v>90</v>
      </c>
    </row>
    <row r="1361" spans="1:6">
      <c r="A1361" s="1">
        <v>43607</v>
      </c>
      <c r="B1361" t="s">
        <v>1507</v>
      </c>
      <c r="C1361" t="s">
        <v>148</v>
      </c>
      <c r="D1361" t="s">
        <v>120</v>
      </c>
      <c r="E1361" t="s">
        <v>127</v>
      </c>
      <c r="F1361" s="2">
        <v>90</v>
      </c>
    </row>
    <row r="1362" spans="1:6">
      <c r="A1362" s="1">
        <v>43607</v>
      </c>
      <c r="B1362" t="s">
        <v>1508</v>
      </c>
      <c r="C1362" t="s">
        <v>187</v>
      </c>
      <c r="D1362" t="s">
        <v>133</v>
      </c>
      <c r="E1362" t="s">
        <v>131</v>
      </c>
      <c r="F1362" s="2">
        <v>30</v>
      </c>
    </row>
    <row r="1363" spans="1:6">
      <c r="A1363" s="1">
        <v>43607</v>
      </c>
      <c r="B1363" t="s">
        <v>1509</v>
      </c>
      <c r="C1363" t="s">
        <v>164</v>
      </c>
      <c r="D1363" t="s">
        <v>120</v>
      </c>
      <c r="E1363" t="s">
        <v>121</v>
      </c>
      <c r="F1363" s="2">
        <v>90</v>
      </c>
    </row>
    <row r="1364" spans="1:6">
      <c r="A1364" s="1">
        <v>43607</v>
      </c>
      <c r="B1364" t="s">
        <v>1510</v>
      </c>
      <c r="C1364" t="s">
        <v>182</v>
      </c>
      <c r="D1364" t="s">
        <v>120</v>
      </c>
      <c r="E1364" t="s">
        <v>153</v>
      </c>
      <c r="F1364" s="2">
        <v>90</v>
      </c>
    </row>
    <row r="1365" spans="1:6">
      <c r="A1365" s="1">
        <v>43607</v>
      </c>
      <c r="B1365" t="s">
        <v>1511</v>
      </c>
      <c r="C1365" t="s">
        <v>167</v>
      </c>
      <c r="D1365" t="s">
        <v>126</v>
      </c>
      <c r="E1365" t="s">
        <v>131</v>
      </c>
      <c r="F1365" s="2">
        <v>160</v>
      </c>
    </row>
    <row r="1366" spans="1:6">
      <c r="A1366" s="1">
        <v>43607</v>
      </c>
      <c r="B1366" t="s">
        <v>1512</v>
      </c>
      <c r="C1366" t="s">
        <v>157</v>
      </c>
      <c r="D1366" t="s">
        <v>120</v>
      </c>
      <c r="E1366" t="s">
        <v>127</v>
      </c>
      <c r="F1366" s="2">
        <v>90</v>
      </c>
    </row>
    <row r="1367" spans="1:6">
      <c r="A1367" s="1">
        <v>43607</v>
      </c>
      <c r="B1367" t="s">
        <v>1513</v>
      </c>
      <c r="C1367" t="s">
        <v>148</v>
      </c>
      <c r="D1367" t="s">
        <v>146</v>
      </c>
      <c r="E1367" t="s">
        <v>131</v>
      </c>
      <c r="F1367" s="2">
        <v>50</v>
      </c>
    </row>
    <row r="1368" spans="1:6">
      <c r="A1368" s="1">
        <v>43607</v>
      </c>
      <c r="B1368" t="s">
        <v>1514</v>
      </c>
      <c r="C1368" t="s">
        <v>143</v>
      </c>
      <c r="D1368" t="s">
        <v>126</v>
      </c>
      <c r="E1368" t="s">
        <v>131</v>
      </c>
      <c r="F1368" s="2">
        <v>160</v>
      </c>
    </row>
    <row r="1369" spans="1:6">
      <c r="A1369" s="1">
        <v>43607</v>
      </c>
      <c r="B1369" t="s">
        <v>1515</v>
      </c>
      <c r="C1369" t="s">
        <v>182</v>
      </c>
      <c r="D1369" t="s">
        <v>139</v>
      </c>
      <c r="E1369" t="s">
        <v>134</v>
      </c>
      <c r="F1369" s="2">
        <v>80</v>
      </c>
    </row>
    <row r="1370" spans="1:6">
      <c r="A1370" s="1">
        <v>43607</v>
      </c>
      <c r="B1370" t="s">
        <v>1516</v>
      </c>
      <c r="C1370" t="s">
        <v>136</v>
      </c>
      <c r="D1370" t="s">
        <v>130</v>
      </c>
      <c r="E1370" t="s">
        <v>131</v>
      </c>
      <c r="F1370" s="2">
        <v>100</v>
      </c>
    </row>
    <row r="1371" spans="1:6">
      <c r="A1371" s="1">
        <v>43607</v>
      </c>
      <c r="B1371" t="s">
        <v>1517</v>
      </c>
      <c r="C1371" t="s">
        <v>148</v>
      </c>
      <c r="D1371" t="s">
        <v>139</v>
      </c>
      <c r="E1371" t="s">
        <v>134</v>
      </c>
      <c r="F1371" s="2">
        <v>80</v>
      </c>
    </row>
    <row r="1372" spans="1:6">
      <c r="A1372" s="1">
        <v>43608</v>
      </c>
      <c r="B1372" t="s">
        <v>1518</v>
      </c>
      <c r="C1372" t="s">
        <v>136</v>
      </c>
      <c r="D1372" t="s">
        <v>133</v>
      </c>
      <c r="E1372" t="s">
        <v>121</v>
      </c>
      <c r="F1372" s="2">
        <v>30</v>
      </c>
    </row>
    <row r="1373" spans="1:6">
      <c r="A1373" s="1">
        <v>43608</v>
      </c>
      <c r="B1373" t="s">
        <v>1519</v>
      </c>
      <c r="C1373" t="s">
        <v>189</v>
      </c>
      <c r="D1373" t="s">
        <v>133</v>
      </c>
      <c r="E1373" t="s">
        <v>134</v>
      </c>
      <c r="F1373" s="2">
        <v>30</v>
      </c>
    </row>
    <row r="1374" spans="1:6">
      <c r="A1374" s="1">
        <v>43608</v>
      </c>
      <c r="B1374" t="s">
        <v>1520</v>
      </c>
      <c r="C1374" t="s">
        <v>164</v>
      </c>
      <c r="D1374" t="s">
        <v>146</v>
      </c>
      <c r="E1374" t="s">
        <v>131</v>
      </c>
      <c r="F1374" s="2">
        <v>50</v>
      </c>
    </row>
    <row r="1375" spans="1:6">
      <c r="A1375" s="1">
        <v>43608</v>
      </c>
      <c r="B1375" t="s">
        <v>1521</v>
      </c>
      <c r="C1375" t="s">
        <v>143</v>
      </c>
      <c r="D1375" t="s">
        <v>139</v>
      </c>
      <c r="E1375" t="s">
        <v>127</v>
      </c>
      <c r="F1375" s="2">
        <v>80</v>
      </c>
    </row>
    <row r="1376" spans="1:6">
      <c r="A1376" s="1">
        <v>43608</v>
      </c>
      <c r="B1376" t="s">
        <v>1522</v>
      </c>
      <c r="C1376" t="s">
        <v>129</v>
      </c>
      <c r="D1376" t="s">
        <v>141</v>
      </c>
      <c r="E1376" t="s">
        <v>131</v>
      </c>
      <c r="F1376" s="2">
        <v>180</v>
      </c>
    </row>
    <row r="1377" spans="1:6">
      <c r="A1377" s="1">
        <v>43608</v>
      </c>
      <c r="B1377" t="s">
        <v>1523</v>
      </c>
      <c r="C1377" t="s">
        <v>138</v>
      </c>
      <c r="D1377" t="s">
        <v>130</v>
      </c>
      <c r="E1377" t="s">
        <v>153</v>
      </c>
      <c r="F1377" s="2">
        <v>100</v>
      </c>
    </row>
    <row r="1378" spans="1:6">
      <c r="A1378" s="1">
        <v>43608</v>
      </c>
      <c r="B1378" t="s">
        <v>1524</v>
      </c>
      <c r="C1378" t="s">
        <v>167</v>
      </c>
      <c r="D1378" t="s">
        <v>120</v>
      </c>
      <c r="E1378" t="s">
        <v>131</v>
      </c>
      <c r="F1378" s="2">
        <v>90</v>
      </c>
    </row>
    <row r="1379" spans="1:6">
      <c r="A1379" s="1">
        <v>43608</v>
      </c>
      <c r="B1379" t="s">
        <v>1525</v>
      </c>
      <c r="C1379" t="s">
        <v>148</v>
      </c>
      <c r="D1379" t="s">
        <v>120</v>
      </c>
      <c r="E1379" t="s">
        <v>153</v>
      </c>
      <c r="F1379" s="2">
        <v>90</v>
      </c>
    </row>
    <row r="1380" spans="1:6">
      <c r="A1380" s="1">
        <v>43608</v>
      </c>
      <c r="B1380" t="s">
        <v>1526</v>
      </c>
      <c r="C1380" t="s">
        <v>145</v>
      </c>
      <c r="D1380" t="s">
        <v>139</v>
      </c>
      <c r="E1380" t="s">
        <v>131</v>
      </c>
      <c r="F1380" s="2">
        <v>80</v>
      </c>
    </row>
    <row r="1381" spans="1:6">
      <c r="A1381" s="1">
        <v>43608</v>
      </c>
      <c r="B1381" t="s">
        <v>1527</v>
      </c>
      <c r="C1381" t="s">
        <v>148</v>
      </c>
      <c r="D1381" t="s">
        <v>126</v>
      </c>
      <c r="E1381" t="s">
        <v>134</v>
      </c>
      <c r="F1381" s="2">
        <v>160</v>
      </c>
    </row>
    <row r="1382" spans="1:6">
      <c r="A1382" s="1">
        <v>43608</v>
      </c>
      <c r="B1382" t="s">
        <v>1528</v>
      </c>
      <c r="C1382" t="s">
        <v>164</v>
      </c>
      <c r="D1382" t="s">
        <v>146</v>
      </c>
      <c r="E1382" t="s">
        <v>131</v>
      </c>
      <c r="F1382" s="2">
        <v>50</v>
      </c>
    </row>
    <row r="1383" spans="1:6">
      <c r="A1383" s="1">
        <v>43608</v>
      </c>
      <c r="B1383" t="s">
        <v>1529</v>
      </c>
      <c r="C1383" t="s">
        <v>123</v>
      </c>
      <c r="D1383" t="s">
        <v>139</v>
      </c>
      <c r="E1383" t="s">
        <v>121</v>
      </c>
      <c r="F1383" s="2">
        <v>80</v>
      </c>
    </row>
    <row r="1384" spans="1:6">
      <c r="A1384" s="1">
        <v>43608</v>
      </c>
      <c r="B1384" t="s">
        <v>1530</v>
      </c>
      <c r="C1384" t="s">
        <v>187</v>
      </c>
      <c r="D1384" t="s">
        <v>141</v>
      </c>
      <c r="E1384" t="s">
        <v>127</v>
      </c>
      <c r="F1384" s="2">
        <v>180</v>
      </c>
    </row>
    <row r="1385" spans="1:6">
      <c r="A1385" s="1">
        <v>43609</v>
      </c>
      <c r="B1385" t="s">
        <v>1531</v>
      </c>
      <c r="C1385" t="s">
        <v>148</v>
      </c>
      <c r="D1385" t="s">
        <v>139</v>
      </c>
      <c r="E1385" t="s">
        <v>121</v>
      </c>
      <c r="F1385" s="2">
        <v>80</v>
      </c>
    </row>
    <row r="1386" spans="1:6">
      <c r="A1386" s="1">
        <v>43609</v>
      </c>
      <c r="B1386" t="s">
        <v>1532</v>
      </c>
      <c r="C1386" t="s">
        <v>129</v>
      </c>
      <c r="D1386" t="s">
        <v>133</v>
      </c>
      <c r="E1386" t="s">
        <v>127</v>
      </c>
      <c r="F1386" s="2">
        <v>30</v>
      </c>
    </row>
    <row r="1387" spans="1:6">
      <c r="A1387" s="1">
        <v>43609</v>
      </c>
      <c r="B1387" t="s">
        <v>1533</v>
      </c>
      <c r="C1387" t="s">
        <v>223</v>
      </c>
      <c r="D1387" t="s">
        <v>120</v>
      </c>
      <c r="E1387" t="s">
        <v>153</v>
      </c>
      <c r="F1387" s="2">
        <v>90</v>
      </c>
    </row>
    <row r="1388" spans="1:6">
      <c r="A1388" s="1">
        <v>43609</v>
      </c>
      <c r="B1388" t="s">
        <v>1534</v>
      </c>
      <c r="C1388" t="s">
        <v>223</v>
      </c>
      <c r="D1388" t="s">
        <v>133</v>
      </c>
      <c r="E1388" t="s">
        <v>153</v>
      </c>
      <c r="F1388" s="2">
        <v>30</v>
      </c>
    </row>
    <row r="1389" spans="1:6">
      <c r="A1389" s="1">
        <v>43609</v>
      </c>
      <c r="B1389" t="s">
        <v>1535</v>
      </c>
      <c r="C1389" t="s">
        <v>125</v>
      </c>
      <c r="D1389" t="s">
        <v>159</v>
      </c>
      <c r="E1389" t="s">
        <v>131</v>
      </c>
      <c r="F1389" s="2">
        <v>150</v>
      </c>
    </row>
    <row r="1390" spans="1:6">
      <c r="A1390" s="1">
        <v>43609</v>
      </c>
      <c r="B1390" t="s">
        <v>1536</v>
      </c>
      <c r="C1390" t="s">
        <v>157</v>
      </c>
      <c r="D1390" t="s">
        <v>126</v>
      </c>
      <c r="E1390" t="s">
        <v>153</v>
      </c>
      <c r="F1390" s="2">
        <v>160</v>
      </c>
    </row>
    <row r="1391" spans="1:6">
      <c r="A1391" s="1">
        <v>43609</v>
      </c>
      <c r="B1391" t="s">
        <v>1537</v>
      </c>
      <c r="C1391" t="s">
        <v>123</v>
      </c>
      <c r="D1391" t="s">
        <v>159</v>
      </c>
      <c r="E1391" t="s">
        <v>121</v>
      </c>
      <c r="F1391" s="2">
        <v>150</v>
      </c>
    </row>
    <row r="1392" spans="1:6">
      <c r="A1392" s="1">
        <v>43609</v>
      </c>
      <c r="B1392" t="s">
        <v>1538</v>
      </c>
      <c r="C1392" t="s">
        <v>143</v>
      </c>
      <c r="D1392" t="s">
        <v>146</v>
      </c>
      <c r="E1392" t="s">
        <v>127</v>
      </c>
      <c r="F1392" s="2">
        <v>50</v>
      </c>
    </row>
    <row r="1393" spans="1:6">
      <c r="A1393" s="1">
        <v>43609</v>
      </c>
      <c r="B1393" t="s">
        <v>1539</v>
      </c>
      <c r="C1393" t="s">
        <v>143</v>
      </c>
      <c r="D1393" t="s">
        <v>133</v>
      </c>
      <c r="E1393" t="s">
        <v>131</v>
      </c>
      <c r="F1393" s="2">
        <v>30</v>
      </c>
    </row>
    <row r="1394" spans="1:6">
      <c r="A1394" s="1">
        <v>43609</v>
      </c>
      <c r="B1394" t="s">
        <v>1540</v>
      </c>
      <c r="C1394" t="s">
        <v>223</v>
      </c>
      <c r="D1394" t="s">
        <v>141</v>
      </c>
      <c r="E1394" t="s">
        <v>127</v>
      </c>
      <c r="F1394" s="2">
        <v>180</v>
      </c>
    </row>
    <row r="1395" spans="1:6">
      <c r="A1395" s="1">
        <v>43609</v>
      </c>
      <c r="B1395" t="s">
        <v>1541</v>
      </c>
      <c r="C1395" t="s">
        <v>129</v>
      </c>
      <c r="D1395" t="s">
        <v>130</v>
      </c>
      <c r="E1395" t="s">
        <v>153</v>
      </c>
      <c r="F1395" s="2">
        <v>100</v>
      </c>
    </row>
    <row r="1396" spans="1:6">
      <c r="A1396" s="1">
        <v>43609</v>
      </c>
      <c r="B1396" t="s">
        <v>1542</v>
      </c>
      <c r="C1396" t="s">
        <v>182</v>
      </c>
      <c r="D1396" t="s">
        <v>133</v>
      </c>
      <c r="E1396" t="s">
        <v>121</v>
      </c>
      <c r="F1396" s="2">
        <v>30</v>
      </c>
    </row>
    <row r="1397" spans="1:6">
      <c r="A1397" s="1">
        <v>43609</v>
      </c>
      <c r="B1397" t="s">
        <v>1543</v>
      </c>
      <c r="C1397" t="s">
        <v>136</v>
      </c>
      <c r="D1397" t="s">
        <v>146</v>
      </c>
      <c r="E1397" t="s">
        <v>153</v>
      </c>
      <c r="F1397" s="2">
        <v>50</v>
      </c>
    </row>
    <row r="1398" spans="1:6">
      <c r="A1398" s="1">
        <v>43610</v>
      </c>
      <c r="B1398" t="s">
        <v>1544</v>
      </c>
      <c r="C1398" t="s">
        <v>138</v>
      </c>
      <c r="D1398" t="s">
        <v>133</v>
      </c>
      <c r="E1398" t="s">
        <v>131</v>
      </c>
      <c r="F1398" s="2">
        <v>30</v>
      </c>
    </row>
    <row r="1399" spans="1:6">
      <c r="A1399" s="1">
        <v>43610</v>
      </c>
      <c r="B1399" t="s">
        <v>1545</v>
      </c>
      <c r="C1399" t="s">
        <v>223</v>
      </c>
      <c r="D1399" t="s">
        <v>146</v>
      </c>
      <c r="E1399" t="s">
        <v>127</v>
      </c>
      <c r="F1399" s="2">
        <v>50</v>
      </c>
    </row>
    <row r="1400" spans="1:6">
      <c r="A1400" s="1">
        <v>43610</v>
      </c>
      <c r="B1400" t="s">
        <v>1546</v>
      </c>
      <c r="C1400" t="s">
        <v>145</v>
      </c>
      <c r="D1400" t="s">
        <v>133</v>
      </c>
      <c r="E1400" t="s">
        <v>153</v>
      </c>
      <c r="F1400" s="2">
        <v>30</v>
      </c>
    </row>
    <row r="1401" spans="1:6">
      <c r="A1401" s="1">
        <v>43610</v>
      </c>
      <c r="B1401" t="s">
        <v>1547</v>
      </c>
      <c r="C1401" t="s">
        <v>167</v>
      </c>
      <c r="D1401" t="s">
        <v>120</v>
      </c>
      <c r="E1401" t="s">
        <v>131</v>
      </c>
      <c r="F1401" s="2">
        <v>90</v>
      </c>
    </row>
    <row r="1402" spans="1:6">
      <c r="A1402" s="1">
        <v>43610</v>
      </c>
      <c r="B1402" t="s">
        <v>1548</v>
      </c>
      <c r="C1402" t="s">
        <v>148</v>
      </c>
      <c r="D1402" t="s">
        <v>120</v>
      </c>
      <c r="E1402" t="s">
        <v>127</v>
      </c>
      <c r="F1402" s="2">
        <v>90</v>
      </c>
    </row>
    <row r="1403" spans="1:6">
      <c r="A1403" s="1">
        <v>43610</v>
      </c>
      <c r="B1403" t="s">
        <v>1549</v>
      </c>
      <c r="C1403" t="s">
        <v>182</v>
      </c>
      <c r="D1403" t="s">
        <v>133</v>
      </c>
      <c r="E1403" t="s">
        <v>127</v>
      </c>
      <c r="F1403" s="2">
        <v>30</v>
      </c>
    </row>
    <row r="1404" spans="1:6">
      <c r="A1404" s="1">
        <v>43611</v>
      </c>
      <c r="B1404" t="s">
        <v>1550</v>
      </c>
      <c r="C1404" t="s">
        <v>189</v>
      </c>
      <c r="D1404" t="s">
        <v>120</v>
      </c>
      <c r="E1404" t="s">
        <v>134</v>
      </c>
      <c r="F1404" s="2">
        <v>90</v>
      </c>
    </row>
    <row r="1405" spans="1:6">
      <c r="A1405" s="1">
        <v>43611</v>
      </c>
      <c r="B1405" t="s">
        <v>1551</v>
      </c>
      <c r="C1405" t="s">
        <v>143</v>
      </c>
      <c r="D1405" t="s">
        <v>139</v>
      </c>
      <c r="E1405" t="s">
        <v>131</v>
      </c>
      <c r="F1405" s="2">
        <v>80</v>
      </c>
    </row>
    <row r="1406" spans="1:6">
      <c r="A1406" s="1">
        <v>43611</v>
      </c>
      <c r="B1406" t="s">
        <v>1552</v>
      </c>
      <c r="C1406" t="s">
        <v>152</v>
      </c>
      <c r="D1406" t="s">
        <v>141</v>
      </c>
      <c r="E1406" t="s">
        <v>127</v>
      </c>
      <c r="F1406" s="2">
        <v>180</v>
      </c>
    </row>
    <row r="1407" spans="1:6">
      <c r="A1407" s="1">
        <v>43611</v>
      </c>
      <c r="B1407" t="s">
        <v>1553</v>
      </c>
      <c r="C1407" t="s">
        <v>119</v>
      </c>
      <c r="D1407" t="s">
        <v>133</v>
      </c>
      <c r="E1407" t="s">
        <v>131</v>
      </c>
      <c r="F1407" s="2">
        <v>30</v>
      </c>
    </row>
    <row r="1408" spans="1:6">
      <c r="A1408" s="1">
        <v>43611</v>
      </c>
      <c r="B1408" t="s">
        <v>1554</v>
      </c>
      <c r="C1408" t="s">
        <v>125</v>
      </c>
      <c r="D1408" t="s">
        <v>133</v>
      </c>
      <c r="E1408" t="s">
        <v>121</v>
      </c>
      <c r="F1408" s="2">
        <v>30</v>
      </c>
    </row>
    <row r="1409" spans="1:6">
      <c r="A1409" s="1">
        <v>43611</v>
      </c>
      <c r="B1409" t="s">
        <v>1555</v>
      </c>
      <c r="C1409" t="s">
        <v>223</v>
      </c>
      <c r="D1409" t="s">
        <v>120</v>
      </c>
      <c r="E1409" t="s">
        <v>121</v>
      </c>
      <c r="F1409" s="2">
        <v>90</v>
      </c>
    </row>
    <row r="1410" spans="1:6">
      <c r="A1410" s="1">
        <v>43611</v>
      </c>
      <c r="B1410" t="s">
        <v>1556</v>
      </c>
      <c r="C1410" t="s">
        <v>167</v>
      </c>
      <c r="D1410" t="s">
        <v>159</v>
      </c>
      <c r="E1410" t="s">
        <v>121</v>
      </c>
      <c r="F1410" s="2">
        <v>150</v>
      </c>
    </row>
    <row r="1411" spans="1:6">
      <c r="A1411" s="1">
        <v>43611</v>
      </c>
      <c r="B1411" t="s">
        <v>1557</v>
      </c>
      <c r="C1411" t="s">
        <v>123</v>
      </c>
      <c r="D1411" t="s">
        <v>120</v>
      </c>
      <c r="E1411" t="s">
        <v>131</v>
      </c>
      <c r="F1411" s="2">
        <v>90</v>
      </c>
    </row>
    <row r="1412" spans="1:6">
      <c r="A1412" s="1">
        <v>43611</v>
      </c>
      <c r="B1412" t="s">
        <v>1558</v>
      </c>
      <c r="C1412" t="s">
        <v>148</v>
      </c>
      <c r="D1412" t="s">
        <v>159</v>
      </c>
      <c r="E1412" t="s">
        <v>131</v>
      </c>
      <c r="F1412" s="2">
        <v>150</v>
      </c>
    </row>
    <row r="1413" spans="1:6">
      <c r="A1413" s="1">
        <v>43611</v>
      </c>
      <c r="B1413" t="s">
        <v>1559</v>
      </c>
      <c r="C1413" t="s">
        <v>143</v>
      </c>
      <c r="D1413" t="s">
        <v>126</v>
      </c>
      <c r="E1413" t="s">
        <v>153</v>
      </c>
      <c r="F1413" s="2">
        <v>160</v>
      </c>
    </row>
    <row r="1414" spans="1:6">
      <c r="A1414" s="1">
        <v>43611</v>
      </c>
      <c r="B1414" t="s">
        <v>1560</v>
      </c>
      <c r="C1414" t="s">
        <v>189</v>
      </c>
      <c r="D1414" t="s">
        <v>141</v>
      </c>
      <c r="E1414" t="s">
        <v>134</v>
      </c>
      <c r="F1414" s="2">
        <v>180</v>
      </c>
    </row>
    <row r="1415" spans="1:6">
      <c r="A1415" s="1">
        <v>43611</v>
      </c>
      <c r="B1415" t="s">
        <v>1561</v>
      </c>
      <c r="C1415" t="s">
        <v>223</v>
      </c>
      <c r="D1415" t="s">
        <v>126</v>
      </c>
      <c r="E1415" t="s">
        <v>131</v>
      </c>
      <c r="F1415" s="2">
        <v>160</v>
      </c>
    </row>
    <row r="1416" spans="1:6">
      <c r="A1416" s="1">
        <v>43611</v>
      </c>
      <c r="B1416" t="s">
        <v>1562</v>
      </c>
      <c r="C1416" t="s">
        <v>143</v>
      </c>
      <c r="D1416" t="s">
        <v>126</v>
      </c>
      <c r="E1416" t="s">
        <v>127</v>
      </c>
      <c r="F1416" s="2">
        <v>160</v>
      </c>
    </row>
    <row r="1417" spans="1:6">
      <c r="A1417" s="1">
        <v>43612</v>
      </c>
      <c r="B1417" t="s">
        <v>1563</v>
      </c>
      <c r="C1417" t="s">
        <v>187</v>
      </c>
      <c r="D1417" t="s">
        <v>120</v>
      </c>
      <c r="E1417" t="s">
        <v>134</v>
      </c>
      <c r="F1417" s="2">
        <v>90</v>
      </c>
    </row>
    <row r="1418" spans="1:6">
      <c r="A1418" s="1">
        <v>43612</v>
      </c>
      <c r="B1418" t="s">
        <v>1564</v>
      </c>
      <c r="C1418" t="s">
        <v>119</v>
      </c>
      <c r="D1418" t="s">
        <v>146</v>
      </c>
      <c r="E1418" t="s">
        <v>134</v>
      </c>
      <c r="F1418" s="2">
        <v>50</v>
      </c>
    </row>
    <row r="1419" spans="1:6">
      <c r="A1419" s="1">
        <v>43612</v>
      </c>
      <c r="B1419" t="s">
        <v>1565</v>
      </c>
      <c r="C1419" t="s">
        <v>167</v>
      </c>
      <c r="D1419" t="s">
        <v>126</v>
      </c>
      <c r="E1419" t="s">
        <v>134</v>
      </c>
      <c r="F1419" s="2">
        <v>160</v>
      </c>
    </row>
    <row r="1420" spans="1:6">
      <c r="A1420" s="1">
        <v>43612</v>
      </c>
      <c r="B1420" t="s">
        <v>1566</v>
      </c>
      <c r="C1420" t="s">
        <v>167</v>
      </c>
      <c r="D1420" t="s">
        <v>133</v>
      </c>
      <c r="E1420" t="s">
        <v>131</v>
      </c>
      <c r="F1420" s="2">
        <v>30</v>
      </c>
    </row>
    <row r="1421" spans="1:6">
      <c r="A1421" s="1">
        <v>43612</v>
      </c>
      <c r="B1421" t="s">
        <v>1567</v>
      </c>
      <c r="C1421" t="s">
        <v>125</v>
      </c>
      <c r="D1421" t="s">
        <v>133</v>
      </c>
      <c r="E1421" t="s">
        <v>131</v>
      </c>
      <c r="F1421" s="2">
        <v>30</v>
      </c>
    </row>
    <row r="1422" spans="1:6">
      <c r="A1422" s="1">
        <v>43612</v>
      </c>
      <c r="B1422" t="s">
        <v>1568</v>
      </c>
      <c r="C1422" t="s">
        <v>164</v>
      </c>
      <c r="D1422" t="s">
        <v>139</v>
      </c>
      <c r="E1422" t="s">
        <v>121</v>
      </c>
      <c r="F1422" s="2">
        <v>80</v>
      </c>
    </row>
    <row r="1423" spans="1:6">
      <c r="A1423" s="1">
        <v>43613</v>
      </c>
      <c r="B1423" t="s">
        <v>1569</v>
      </c>
      <c r="C1423" t="s">
        <v>148</v>
      </c>
      <c r="D1423" t="s">
        <v>120</v>
      </c>
      <c r="E1423" t="s">
        <v>131</v>
      </c>
      <c r="F1423" s="2">
        <v>90</v>
      </c>
    </row>
    <row r="1424" spans="1:6">
      <c r="A1424" s="1">
        <v>43613</v>
      </c>
      <c r="B1424" t="s">
        <v>1570</v>
      </c>
      <c r="C1424" t="s">
        <v>182</v>
      </c>
      <c r="D1424" t="s">
        <v>146</v>
      </c>
      <c r="E1424" t="s">
        <v>131</v>
      </c>
      <c r="F1424" s="2">
        <v>50</v>
      </c>
    </row>
    <row r="1425" spans="1:6">
      <c r="A1425" s="1">
        <v>43613</v>
      </c>
      <c r="B1425" t="s">
        <v>1571</v>
      </c>
      <c r="C1425" t="s">
        <v>187</v>
      </c>
      <c r="D1425" t="s">
        <v>130</v>
      </c>
      <c r="E1425" t="s">
        <v>127</v>
      </c>
      <c r="F1425" s="2">
        <v>100</v>
      </c>
    </row>
    <row r="1426" spans="1:6">
      <c r="A1426" s="1">
        <v>43613</v>
      </c>
      <c r="B1426" t="s">
        <v>1572</v>
      </c>
      <c r="C1426" t="s">
        <v>182</v>
      </c>
      <c r="D1426" t="s">
        <v>120</v>
      </c>
      <c r="E1426" t="s">
        <v>153</v>
      </c>
      <c r="F1426" s="2">
        <v>90</v>
      </c>
    </row>
    <row r="1427" spans="1:6">
      <c r="A1427" s="1">
        <v>43613</v>
      </c>
      <c r="B1427" t="s">
        <v>1573</v>
      </c>
      <c r="C1427" t="s">
        <v>145</v>
      </c>
      <c r="D1427" t="s">
        <v>120</v>
      </c>
      <c r="E1427" t="s">
        <v>134</v>
      </c>
      <c r="F1427" s="2">
        <v>90</v>
      </c>
    </row>
    <row r="1428" spans="1:6">
      <c r="A1428" s="1">
        <v>43613</v>
      </c>
      <c r="B1428" t="s">
        <v>1574</v>
      </c>
      <c r="C1428" t="s">
        <v>125</v>
      </c>
      <c r="D1428" t="s">
        <v>141</v>
      </c>
      <c r="E1428" t="s">
        <v>131</v>
      </c>
      <c r="F1428" s="2">
        <v>180</v>
      </c>
    </row>
    <row r="1429" spans="1:6">
      <c r="A1429" s="1">
        <v>43613</v>
      </c>
      <c r="B1429" t="s">
        <v>1575</v>
      </c>
      <c r="C1429" t="s">
        <v>125</v>
      </c>
      <c r="D1429" t="s">
        <v>159</v>
      </c>
      <c r="E1429" t="s">
        <v>153</v>
      </c>
      <c r="F1429" s="2">
        <v>150</v>
      </c>
    </row>
    <row r="1430" spans="1:6">
      <c r="A1430" s="1">
        <v>43613</v>
      </c>
      <c r="B1430" t="s">
        <v>1576</v>
      </c>
      <c r="C1430" t="s">
        <v>119</v>
      </c>
      <c r="D1430" t="s">
        <v>126</v>
      </c>
      <c r="E1430" t="s">
        <v>134</v>
      </c>
      <c r="F1430" s="2">
        <v>160</v>
      </c>
    </row>
    <row r="1431" spans="1:6">
      <c r="A1431" s="1">
        <v>43613</v>
      </c>
      <c r="B1431" t="s">
        <v>1577</v>
      </c>
      <c r="C1431" t="s">
        <v>223</v>
      </c>
      <c r="D1431" t="s">
        <v>120</v>
      </c>
      <c r="E1431" t="s">
        <v>134</v>
      </c>
      <c r="F1431" s="2">
        <v>90</v>
      </c>
    </row>
    <row r="1432" spans="1:6">
      <c r="A1432" s="1">
        <v>43613</v>
      </c>
      <c r="B1432" t="s">
        <v>1578</v>
      </c>
      <c r="C1432" t="s">
        <v>223</v>
      </c>
      <c r="D1432" t="s">
        <v>146</v>
      </c>
      <c r="E1432" t="s">
        <v>131</v>
      </c>
      <c r="F1432" s="2">
        <v>50</v>
      </c>
    </row>
    <row r="1433" spans="1:6">
      <c r="A1433" s="1">
        <v>43613</v>
      </c>
      <c r="B1433" t="s">
        <v>1579</v>
      </c>
      <c r="C1433" t="s">
        <v>143</v>
      </c>
      <c r="D1433" t="s">
        <v>126</v>
      </c>
      <c r="E1433" t="s">
        <v>153</v>
      </c>
      <c r="F1433" s="2">
        <v>160</v>
      </c>
    </row>
    <row r="1434" spans="1:6">
      <c r="A1434" s="1">
        <v>43614</v>
      </c>
      <c r="B1434" t="s">
        <v>1580</v>
      </c>
      <c r="C1434" t="s">
        <v>223</v>
      </c>
      <c r="D1434" t="s">
        <v>146</v>
      </c>
      <c r="E1434" t="s">
        <v>121</v>
      </c>
      <c r="F1434" s="2">
        <v>50</v>
      </c>
    </row>
    <row r="1435" spans="1:6">
      <c r="A1435" s="1">
        <v>43614</v>
      </c>
      <c r="B1435" t="s">
        <v>1581</v>
      </c>
      <c r="C1435" t="s">
        <v>187</v>
      </c>
      <c r="D1435" t="s">
        <v>120</v>
      </c>
      <c r="E1435" t="s">
        <v>153</v>
      </c>
      <c r="F1435" s="2">
        <v>90</v>
      </c>
    </row>
    <row r="1436" spans="1:6">
      <c r="A1436" s="1">
        <v>43614</v>
      </c>
      <c r="B1436" t="s">
        <v>1582</v>
      </c>
      <c r="C1436" t="s">
        <v>129</v>
      </c>
      <c r="D1436" t="s">
        <v>139</v>
      </c>
      <c r="E1436" t="s">
        <v>153</v>
      </c>
      <c r="F1436" s="2">
        <v>80</v>
      </c>
    </row>
    <row r="1437" spans="1:6">
      <c r="A1437" s="1">
        <v>43614</v>
      </c>
      <c r="B1437" t="s">
        <v>1583</v>
      </c>
      <c r="C1437" t="s">
        <v>123</v>
      </c>
      <c r="D1437" t="s">
        <v>120</v>
      </c>
      <c r="E1437" t="s">
        <v>134</v>
      </c>
      <c r="F1437" s="2">
        <v>90</v>
      </c>
    </row>
    <row r="1438" spans="1:6">
      <c r="A1438" s="1">
        <v>43614</v>
      </c>
      <c r="B1438" t="s">
        <v>1584</v>
      </c>
      <c r="C1438" t="s">
        <v>119</v>
      </c>
      <c r="D1438" t="s">
        <v>146</v>
      </c>
      <c r="E1438" t="s">
        <v>134</v>
      </c>
      <c r="F1438" s="2">
        <v>50</v>
      </c>
    </row>
    <row r="1439" spans="1:6">
      <c r="A1439" s="1">
        <v>43614</v>
      </c>
      <c r="B1439" t="s">
        <v>1585</v>
      </c>
      <c r="C1439" t="s">
        <v>223</v>
      </c>
      <c r="D1439" t="s">
        <v>159</v>
      </c>
      <c r="E1439" t="s">
        <v>121</v>
      </c>
      <c r="F1439" s="2">
        <v>150</v>
      </c>
    </row>
    <row r="1440" spans="1:6">
      <c r="A1440" s="1">
        <v>43614</v>
      </c>
      <c r="B1440" t="s">
        <v>1586</v>
      </c>
      <c r="C1440" t="s">
        <v>148</v>
      </c>
      <c r="D1440" t="s">
        <v>141</v>
      </c>
      <c r="E1440" t="s">
        <v>121</v>
      </c>
      <c r="F1440" s="2">
        <v>180</v>
      </c>
    </row>
    <row r="1441" spans="1:6">
      <c r="A1441" s="1">
        <v>43614</v>
      </c>
      <c r="B1441" t="s">
        <v>1587</v>
      </c>
      <c r="C1441" t="s">
        <v>119</v>
      </c>
      <c r="D1441" t="s">
        <v>141</v>
      </c>
      <c r="E1441" t="s">
        <v>121</v>
      </c>
      <c r="F1441" s="2">
        <v>180</v>
      </c>
    </row>
    <row r="1442" spans="1:6">
      <c r="A1442" s="1">
        <v>43614</v>
      </c>
      <c r="B1442" t="s">
        <v>1588</v>
      </c>
      <c r="C1442" t="s">
        <v>167</v>
      </c>
      <c r="D1442" t="s">
        <v>126</v>
      </c>
      <c r="E1442" t="s">
        <v>134</v>
      </c>
      <c r="F1442" s="2">
        <v>160</v>
      </c>
    </row>
    <row r="1443" spans="1:6">
      <c r="A1443" s="1">
        <v>43614</v>
      </c>
      <c r="B1443" t="s">
        <v>1589</v>
      </c>
      <c r="C1443" t="s">
        <v>223</v>
      </c>
      <c r="D1443" t="s">
        <v>159</v>
      </c>
      <c r="E1443" t="s">
        <v>134</v>
      </c>
      <c r="F1443" s="2">
        <v>150</v>
      </c>
    </row>
    <row r="1444" spans="1:6">
      <c r="A1444" s="1">
        <v>43614</v>
      </c>
      <c r="B1444" t="s">
        <v>1590</v>
      </c>
      <c r="C1444" t="s">
        <v>145</v>
      </c>
      <c r="D1444" t="s">
        <v>139</v>
      </c>
      <c r="E1444" t="s">
        <v>131</v>
      </c>
      <c r="F1444" s="2">
        <v>80</v>
      </c>
    </row>
    <row r="1445" spans="1:6">
      <c r="A1445" s="1">
        <v>43614</v>
      </c>
      <c r="B1445" t="s">
        <v>1591</v>
      </c>
      <c r="C1445" t="s">
        <v>136</v>
      </c>
      <c r="D1445" t="s">
        <v>126</v>
      </c>
      <c r="E1445" t="s">
        <v>134</v>
      </c>
      <c r="F1445" s="2">
        <v>160</v>
      </c>
    </row>
    <row r="1446" spans="1:6">
      <c r="A1446" s="1">
        <v>43614</v>
      </c>
      <c r="B1446" t="s">
        <v>1592</v>
      </c>
      <c r="C1446" t="s">
        <v>123</v>
      </c>
      <c r="D1446" t="s">
        <v>120</v>
      </c>
      <c r="E1446" t="s">
        <v>131</v>
      </c>
      <c r="F1446" s="2">
        <v>90</v>
      </c>
    </row>
    <row r="1447" spans="1:6">
      <c r="A1447" s="1">
        <v>43614</v>
      </c>
      <c r="B1447" t="s">
        <v>1593</v>
      </c>
      <c r="C1447" t="s">
        <v>148</v>
      </c>
      <c r="D1447" t="s">
        <v>126</v>
      </c>
      <c r="E1447" t="s">
        <v>131</v>
      </c>
      <c r="F1447" s="2">
        <v>160</v>
      </c>
    </row>
    <row r="1448" spans="1:6">
      <c r="A1448" s="1">
        <v>43614</v>
      </c>
      <c r="B1448" t="s">
        <v>1594</v>
      </c>
      <c r="C1448" t="s">
        <v>138</v>
      </c>
      <c r="D1448" t="s">
        <v>130</v>
      </c>
      <c r="E1448" t="s">
        <v>131</v>
      </c>
      <c r="F1448" s="2">
        <v>100</v>
      </c>
    </row>
    <row r="1449" spans="1:6">
      <c r="A1449" s="1">
        <v>43614</v>
      </c>
      <c r="B1449" t="s">
        <v>1595</v>
      </c>
      <c r="C1449" t="s">
        <v>125</v>
      </c>
      <c r="D1449" t="s">
        <v>159</v>
      </c>
      <c r="E1449" t="s">
        <v>121</v>
      </c>
      <c r="F1449" s="2">
        <v>150</v>
      </c>
    </row>
    <row r="1450" spans="1:6">
      <c r="A1450" s="1">
        <v>43615</v>
      </c>
      <c r="B1450" t="s">
        <v>1596</v>
      </c>
      <c r="C1450" t="s">
        <v>145</v>
      </c>
      <c r="D1450" t="s">
        <v>133</v>
      </c>
      <c r="E1450" t="s">
        <v>153</v>
      </c>
      <c r="F1450" s="2">
        <v>30</v>
      </c>
    </row>
    <row r="1451" spans="1:6">
      <c r="A1451" s="1">
        <v>43615</v>
      </c>
      <c r="B1451" t="s">
        <v>1597</v>
      </c>
      <c r="C1451" t="s">
        <v>125</v>
      </c>
      <c r="D1451" t="s">
        <v>130</v>
      </c>
      <c r="E1451" t="s">
        <v>127</v>
      </c>
      <c r="F1451" s="2">
        <v>100</v>
      </c>
    </row>
    <row r="1452" spans="1:6">
      <c r="A1452" s="1">
        <v>43615</v>
      </c>
      <c r="B1452" t="s">
        <v>1598</v>
      </c>
      <c r="C1452" t="s">
        <v>138</v>
      </c>
      <c r="D1452" t="s">
        <v>126</v>
      </c>
      <c r="E1452" t="s">
        <v>134</v>
      </c>
      <c r="F1452" s="2">
        <v>160</v>
      </c>
    </row>
    <row r="1453" spans="1:6">
      <c r="A1453" s="1">
        <v>43615</v>
      </c>
      <c r="B1453" t="s">
        <v>1599</v>
      </c>
      <c r="C1453" t="s">
        <v>223</v>
      </c>
      <c r="D1453" t="s">
        <v>139</v>
      </c>
      <c r="E1453" t="s">
        <v>153</v>
      </c>
      <c r="F1453" s="2">
        <v>80</v>
      </c>
    </row>
    <row r="1454" spans="1:6">
      <c r="A1454" s="1">
        <v>43615</v>
      </c>
      <c r="B1454" t="s">
        <v>1600</v>
      </c>
      <c r="C1454" t="s">
        <v>136</v>
      </c>
      <c r="D1454" t="s">
        <v>130</v>
      </c>
      <c r="E1454" t="s">
        <v>121</v>
      </c>
      <c r="F1454" s="2">
        <v>100</v>
      </c>
    </row>
    <row r="1455" spans="1:6">
      <c r="A1455" s="1">
        <v>43615</v>
      </c>
      <c r="B1455" t="s">
        <v>1601</v>
      </c>
      <c r="C1455" t="s">
        <v>148</v>
      </c>
      <c r="D1455" t="s">
        <v>126</v>
      </c>
      <c r="E1455" t="s">
        <v>153</v>
      </c>
      <c r="F1455" s="2">
        <v>160</v>
      </c>
    </row>
    <row r="1456" spans="1:6">
      <c r="A1456" s="1">
        <v>43615</v>
      </c>
      <c r="B1456" t="s">
        <v>1602</v>
      </c>
      <c r="C1456" t="s">
        <v>152</v>
      </c>
      <c r="D1456" t="s">
        <v>141</v>
      </c>
      <c r="E1456" t="s">
        <v>121</v>
      </c>
      <c r="F1456" s="2">
        <v>180</v>
      </c>
    </row>
    <row r="1457" spans="1:6">
      <c r="A1457" s="1">
        <v>43615</v>
      </c>
      <c r="B1457" t="s">
        <v>1603</v>
      </c>
      <c r="C1457" t="s">
        <v>223</v>
      </c>
      <c r="D1457" t="s">
        <v>141</v>
      </c>
      <c r="E1457" t="s">
        <v>153</v>
      </c>
      <c r="F1457" s="2">
        <v>180</v>
      </c>
    </row>
    <row r="1458" spans="1:6">
      <c r="A1458" s="1">
        <v>43615</v>
      </c>
      <c r="B1458" t="s">
        <v>1604</v>
      </c>
      <c r="C1458" t="s">
        <v>157</v>
      </c>
      <c r="D1458" t="s">
        <v>120</v>
      </c>
      <c r="E1458" t="s">
        <v>121</v>
      </c>
      <c r="F1458" s="2">
        <v>90</v>
      </c>
    </row>
    <row r="1459" spans="1:6">
      <c r="A1459" s="1">
        <v>43616</v>
      </c>
      <c r="B1459" t="s">
        <v>1605</v>
      </c>
      <c r="C1459" t="s">
        <v>145</v>
      </c>
      <c r="D1459" t="s">
        <v>146</v>
      </c>
      <c r="E1459" t="s">
        <v>127</v>
      </c>
      <c r="F1459" s="2">
        <v>50</v>
      </c>
    </row>
    <row r="1460" spans="1:6">
      <c r="A1460" s="1">
        <v>43616</v>
      </c>
      <c r="B1460" t="s">
        <v>1606</v>
      </c>
      <c r="C1460" t="s">
        <v>152</v>
      </c>
      <c r="D1460" t="s">
        <v>146</v>
      </c>
      <c r="E1460" t="s">
        <v>121</v>
      </c>
      <c r="F1460" s="2">
        <v>50</v>
      </c>
    </row>
    <row r="1461" spans="1:6">
      <c r="A1461" s="1">
        <v>43616</v>
      </c>
      <c r="B1461" t="s">
        <v>1607</v>
      </c>
      <c r="C1461" t="s">
        <v>182</v>
      </c>
      <c r="D1461" t="s">
        <v>139</v>
      </c>
      <c r="E1461" t="s">
        <v>134</v>
      </c>
      <c r="F1461" s="2">
        <v>80</v>
      </c>
    </row>
    <row r="1462" spans="1:6">
      <c r="A1462" s="1">
        <v>43616</v>
      </c>
      <c r="B1462" t="s">
        <v>1608</v>
      </c>
      <c r="C1462" t="s">
        <v>157</v>
      </c>
      <c r="D1462" t="s">
        <v>126</v>
      </c>
      <c r="E1462" t="s">
        <v>134</v>
      </c>
      <c r="F1462" s="2">
        <v>160</v>
      </c>
    </row>
    <row r="1463" spans="1:6">
      <c r="A1463" s="1">
        <v>43616</v>
      </c>
      <c r="B1463" t="s">
        <v>1609</v>
      </c>
      <c r="C1463" t="s">
        <v>189</v>
      </c>
      <c r="D1463" t="s">
        <v>120</v>
      </c>
      <c r="E1463" t="s">
        <v>121</v>
      </c>
      <c r="F1463" s="2">
        <v>90</v>
      </c>
    </row>
    <row r="1464" spans="1:6">
      <c r="A1464" s="1">
        <v>43617</v>
      </c>
      <c r="B1464" t="s">
        <v>1610</v>
      </c>
      <c r="C1464" t="s">
        <v>145</v>
      </c>
      <c r="D1464" t="s">
        <v>130</v>
      </c>
      <c r="E1464" t="s">
        <v>134</v>
      </c>
      <c r="F1464" s="2">
        <v>100</v>
      </c>
    </row>
    <row r="1465" spans="1:6">
      <c r="A1465" s="1">
        <v>43617</v>
      </c>
      <c r="B1465" t="s">
        <v>1611</v>
      </c>
      <c r="C1465" t="s">
        <v>164</v>
      </c>
      <c r="D1465" t="s">
        <v>139</v>
      </c>
      <c r="E1465" t="s">
        <v>127</v>
      </c>
      <c r="F1465" s="2">
        <v>80</v>
      </c>
    </row>
    <row r="1466" spans="1:6">
      <c r="A1466" s="1">
        <v>43617</v>
      </c>
      <c r="B1466" t="s">
        <v>1612</v>
      </c>
      <c r="C1466" t="s">
        <v>136</v>
      </c>
      <c r="D1466" t="s">
        <v>146</v>
      </c>
      <c r="E1466" t="s">
        <v>134</v>
      </c>
      <c r="F1466" s="2">
        <v>50</v>
      </c>
    </row>
    <row r="1467" spans="1:6">
      <c r="A1467" s="1">
        <v>43617</v>
      </c>
      <c r="B1467" t="s">
        <v>1613</v>
      </c>
      <c r="C1467" t="s">
        <v>223</v>
      </c>
      <c r="D1467" t="s">
        <v>139</v>
      </c>
      <c r="E1467" t="s">
        <v>121</v>
      </c>
      <c r="F1467" s="2">
        <v>80</v>
      </c>
    </row>
    <row r="1468" spans="1:6">
      <c r="A1468" s="1">
        <v>43617</v>
      </c>
      <c r="B1468" t="s">
        <v>1614</v>
      </c>
      <c r="C1468" t="s">
        <v>152</v>
      </c>
      <c r="D1468" t="s">
        <v>159</v>
      </c>
      <c r="E1468" t="s">
        <v>127</v>
      </c>
      <c r="F1468" s="2">
        <v>150</v>
      </c>
    </row>
    <row r="1469" spans="1:6">
      <c r="A1469" s="1">
        <v>43618</v>
      </c>
      <c r="B1469" t="s">
        <v>1615</v>
      </c>
      <c r="C1469" t="s">
        <v>145</v>
      </c>
      <c r="D1469" t="s">
        <v>133</v>
      </c>
      <c r="E1469" t="s">
        <v>121</v>
      </c>
      <c r="F1469" s="2">
        <v>30</v>
      </c>
    </row>
    <row r="1470" spans="1:6">
      <c r="A1470" s="1">
        <v>43618</v>
      </c>
      <c r="B1470" t="s">
        <v>1616</v>
      </c>
      <c r="C1470" t="s">
        <v>152</v>
      </c>
      <c r="D1470" t="s">
        <v>139</v>
      </c>
      <c r="E1470" t="s">
        <v>134</v>
      </c>
      <c r="F1470" s="2">
        <v>80</v>
      </c>
    </row>
    <row r="1471" spans="1:6">
      <c r="A1471" s="1">
        <v>43618</v>
      </c>
      <c r="B1471" t="s">
        <v>1617</v>
      </c>
      <c r="C1471" t="s">
        <v>125</v>
      </c>
      <c r="D1471" t="s">
        <v>159</v>
      </c>
      <c r="E1471" t="s">
        <v>121</v>
      </c>
      <c r="F1471" s="2">
        <v>150</v>
      </c>
    </row>
    <row r="1472" spans="1:6">
      <c r="A1472" s="1">
        <v>43618</v>
      </c>
      <c r="B1472" t="s">
        <v>1618</v>
      </c>
      <c r="C1472" t="s">
        <v>157</v>
      </c>
      <c r="D1472" t="s">
        <v>159</v>
      </c>
      <c r="E1472" t="s">
        <v>127</v>
      </c>
      <c r="F1472" s="2">
        <v>150</v>
      </c>
    </row>
    <row r="1473" spans="1:6">
      <c r="A1473" s="1">
        <v>43618</v>
      </c>
      <c r="B1473" t="s">
        <v>1619</v>
      </c>
      <c r="C1473" t="s">
        <v>136</v>
      </c>
      <c r="D1473" t="s">
        <v>126</v>
      </c>
      <c r="E1473" t="s">
        <v>127</v>
      </c>
      <c r="F1473" s="2">
        <v>160</v>
      </c>
    </row>
    <row r="1474" spans="1:6">
      <c r="A1474" s="1">
        <v>43618</v>
      </c>
      <c r="B1474" t="s">
        <v>1620</v>
      </c>
      <c r="C1474" t="s">
        <v>119</v>
      </c>
      <c r="D1474" t="s">
        <v>130</v>
      </c>
      <c r="E1474" t="s">
        <v>121</v>
      </c>
      <c r="F1474" s="2">
        <v>100</v>
      </c>
    </row>
    <row r="1475" spans="1:6">
      <c r="A1475" s="1">
        <v>43618</v>
      </c>
      <c r="B1475" t="s">
        <v>1621</v>
      </c>
      <c r="C1475" t="s">
        <v>119</v>
      </c>
      <c r="D1475" t="s">
        <v>141</v>
      </c>
      <c r="E1475" t="s">
        <v>127</v>
      </c>
      <c r="F1475" s="2">
        <v>180</v>
      </c>
    </row>
    <row r="1476" spans="1:6">
      <c r="A1476" s="1">
        <v>43618</v>
      </c>
      <c r="B1476" t="s">
        <v>1622</v>
      </c>
      <c r="C1476" t="s">
        <v>223</v>
      </c>
      <c r="D1476" t="s">
        <v>133</v>
      </c>
      <c r="E1476" t="s">
        <v>131</v>
      </c>
      <c r="F1476" s="2">
        <v>30</v>
      </c>
    </row>
    <row r="1477" spans="1:6">
      <c r="A1477" s="1">
        <v>43618</v>
      </c>
      <c r="B1477" t="s">
        <v>1623</v>
      </c>
      <c r="C1477" t="s">
        <v>223</v>
      </c>
      <c r="D1477" t="s">
        <v>126</v>
      </c>
      <c r="E1477" t="s">
        <v>153</v>
      </c>
      <c r="F1477" s="2">
        <v>160</v>
      </c>
    </row>
    <row r="1478" spans="1:6">
      <c r="A1478" s="1">
        <v>43618</v>
      </c>
      <c r="B1478" t="s">
        <v>1624</v>
      </c>
      <c r="C1478" t="s">
        <v>164</v>
      </c>
      <c r="D1478" t="s">
        <v>141</v>
      </c>
      <c r="E1478" t="s">
        <v>127</v>
      </c>
      <c r="F1478" s="2">
        <v>180</v>
      </c>
    </row>
    <row r="1479" spans="1:6">
      <c r="A1479" s="1">
        <v>43618</v>
      </c>
      <c r="B1479" t="s">
        <v>1625</v>
      </c>
      <c r="C1479" t="s">
        <v>182</v>
      </c>
      <c r="D1479" t="s">
        <v>126</v>
      </c>
      <c r="E1479" t="s">
        <v>121</v>
      </c>
      <c r="F1479" s="2">
        <v>160</v>
      </c>
    </row>
    <row r="1480" spans="1:6">
      <c r="A1480" s="1">
        <v>43618</v>
      </c>
      <c r="B1480" t="s">
        <v>1626</v>
      </c>
      <c r="C1480" t="s">
        <v>129</v>
      </c>
      <c r="D1480" t="s">
        <v>133</v>
      </c>
      <c r="E1480" t="s">
        <v>153</v>
      </c>
      <c r="F1480" s="2">
        <v>30</v>
      </c>
    </row>
    <row r="1481" spans="1:6">
      <c r="A1481" s="1">
        <v>43618</v>
      </c>
      <c r="B1481" t="s">
        <v>1627</v>
      </c>
      <c r="C1481" t="s">
        <v>189</v>
      </c>
      <c r="D1481" t="s">
        <v>146</v>
      </c>
      <c r="E1481" t="s">
        <v>131</v>
      </c>
      <c r="F1481" s="2">
        <v>50</v>
      </c>
    </row>
    <row r="1482" spans="1:6">
      <c r="A1482" s="1">
        <v>43619</v>
      </c>
      <c r="B1482" t="s">
        <v>1628</v>
      </c>
      <c r="C1482" t="s">
        <v>125</v>
      </c>
      <c r="D1482" t="s">
        <v>126</v>
      </c>
      <c r="E1482" t="s">
        <v>131</v>
      </c>
      <c r="F1482" s="2">
        <v>160</v>
      </c>
    </row>
    <row r="1483" spans="1:6">
      <c r="A1483" s="1">
        <v>43619</v>
      </c>
      <c r="B1483" t="s">
        <v>1629</v>
      </c>
      <c r="C1483" t="s">
        <v>145</v>
      </c>
      <c r="D1483" t="s">
        <v>139</v>
      </c>
      <c r="E1483" t="s">
        <v>121</v>
      </c>
      <c r="F1483" s="2">
        <v>80</v>
      </c>
    </row>
    <row r="1484" spans="1:6">
      <c r="A1484" s="1">
        <v>43619</v>
      </c>
      <c r="B1484" t="s">
        <v>1630</v>
      </c>
      <c r="C1484" t="s">
        <v>189</v>
      </c>
      <c r="D1484" t="s">
        <v>141</v>
      </c>
      <c r="E1484" t="s">
        <v>127</v>
      </c>
      <c r="F1484" s="2">
        <v>180</v>
      </c>
    </row>
    <row r="1485" spans="1:6">
      <c r="A1485" s="1">
        <v>43619</v>
      </c>
      <c r="B1485" t="s">
        <v>1631</v>
      </c>
      <c r="C1485" t="s">
        <v>143</v>
      </c>
      <c r="D1485" t="s">
        <v>141</v>
      </c>
      <c r="E1485" t="s">
        <v>134</v>
      </c>
      <c r="F1485" s="2">
        <v>180</v>
      </c>
    </row>
    <row r="1486" spans="1:6">
      <c r="A1486" s="1">
        <v>43619</v>
      </c>
      <c r="B1486" t="s">
        <v>1632</v>
      </c>
      <c r="C1486" t="s">
        <v>182</v>
      </c>
      <c r="D1486" t="s">
        <v>159</v>
      </c>
      <c r="E1486" t="s">
        <v>121</v>
      </c>
      <c r="F1486" s="2">
        <v>150</v>
      </c>
    </row>
    <row r="1487" spans="1:6">
      <c r="A1487" s="1">
        <v>43619</v>
      </c>
      <c r="B1487" t="s">
        <v>1633</v>
      </c>
      <c r="C1487" t="s">
        <v>152</v>
      </c>
      <c r="D1487" t="s">
        <v>141</v>
      </c>
      <c r="E1487" t="s">
        <v>134</v>
      </c>
      <c r="F1487" s="2">
        <v>180</v>
      </c>
    </row>
    <row r="1488" spans="1:6">
      <c r="A1488" s="1">
        <v>43619</v>
      </c>
      <c r="B1488" t="s">
        <v>1634</v>
      </c>
      <c r="C1488" t="s">
        <v>148</v>
      </c>
      <c r="D1488" t="s">
        <v>159</v>
      </c>
      <c r="E1488" t="s">
        <v>153</v>
      </c>
      <c r="F1488" s="2">
        <v>150</v>
      </c>
    </row>
    <row r="1489" spans="1:6">
      <c r="A1489" s="1">
        <v>43619</v>
      </c>
      <c r="B1489" t="s">
        <v>1635</v>
      </c>
      <c r="C1489" t="s">
        <v>189</v>
      </c>
      <c r="D1489" t="s">
        <v>130</v>
      </c>
      <c r="E1489" t="s">
        <v>121</v>
      </c>
      <c r="F1489" s="2">
        <v>100</v>
      </c>
    </row>
    <row r="1490" spans="1:6">
      <c r="A1490" s="1">
        <v>43619</v>
      </c>
      <c r="B1490" t="s">
        <v>1636</v>
      </c>
      <c r="C1490" t="s">
        <v>129</v>
      </c>
      <c r="D1490" t="s">
        <v>141</v>
      </c>
      <c r="E1490" t="s">
        <v>131</v>
      </c>
      <c r="F1490" s="2">
        <v>180</v>
      </c>
    </row>
    <row r="1491" spans="1:6">
      <c r="A1491" s="1">
        <v>43619</v>
      </c>
      <c r="B1491" t="s">
        <v>1637</v>
      </c>
      <c r="C1491" t="s">
        <v>129</v>
      </c>
      <c r="D1491" t="s">
        <v>133</v>
      </c>
      <c r="E1491" t="s">
        <v>121</v>
      </c>
      <c r="F1491" s="2">
        <v>30</v>
      </c>
    </row>
    <row r="1492" spans="1:6">
      <c r="A1492" s="1">
        <v>43619</v>
      </c>
      <c r="B1492" t="s">
        <v>1638</v>
      </c>
      <c r="C1492" t="s">
        <v>187</v>
      </c>
      <c r="D1492" t="s">
        <v>130</v>
      </c>
      <c r="E1492" t="s">
        <v>134</v>
      </c>
      <c r="F1492" s="2">
        <v>100</v>
      </c>
    </row>
    <row r="1493" spans="1:6">
      <c r="A1493" s="1">
        <v>43620</v>
      </c>
      <c r="B1493" t="s">
        <v>1639</v>
      </c>
      <c r="C1493" t="s">
        <v>136</v>
      </c>
      <c r="D1493" t="s">
        <v>146</v>
      </c>
      <c r="E1493" t="s">
        <v>134</v>
      </c>
      <c r="F1493" s="2">
        <v>50</v>
      </c>
    </row>
    <row r="1494" spans="1:6">
      <c r="A1494" s="1">
        <v>43620</v>
      </c>
      <c r="B1494" t="s">
        <v>1640</v>
      </c>
      <c r="C1494" t="s">
        <v>148</v>
      </c>
      <c r="D1494" t="s">
        <v>130</v>
      </c>
      <c r="E1494" t="s">
        <v>131</v>
      </c>
      <c r="F1494" s="2">
        <v>100</v>
      </c>
    </row>
    <row r="1495" spans="1:6">
      <c r="A1495" s="1">
        <v>43620</v>
      </c>
      <c r="B1495" t="s">
        <v>1641</v>
      </c>
      <c r="C1495" t="s">
        <v>223</v>
      </c>
      <c r="D1495" t="s">
        <v>139</v>
      </c>
      <c r="E1495" t="s">
        <v>153</v>
      </c>
      <c r="F1495" s="2">
        <v>80</v>
      </c>
    </row>
    <row r="1496" spans="1:6">
      <c r="A1496" s="1">
        <v>43620</v>
      </c>
      <c r="B1496" t="s">
        <v>1642</v>
      </c>
      <c r="C1496" t="s">
        <v>157</v>
      </c>
      <c r="D1496" t="s">
        <v>139</v>
      </c>
      <c r="E1496" t="s">
        <v>134</v>
      </c>
      <c r="F1496" s="2">
        <v>80</v>
      </c>
    </row>
    <row r="1497" spans="1:6">
      <c r="A1497" s="1">
        <v>43620</v>
      </c>
      <c r="B1497" t="s">
        <v>1643</v>
      </c>
      <c r="C1497" t="s">
        <v>167</v>
      </c>
      <c r="D1497" t="s">
        <v>126</v>
      </c>
      <c r="E1497" t="s">
        <v>153</v>
      </c>
      <c r="F1497" s="2">
        <v>160</v>
      </c>
    </row>
    <row r="1498" spans="1:6">
      <c r="A1498" s="1">
        <v>43620</v>
      </c>
      <c r="B1498" t="s">
        <v>1644</v>
      </c>
      <c r="C1498" t="s">
        <v>167</v>
      </c>
      <c r="D1498" t="s">
        <v>130</v>
      </c>
      <c r="E1498" t="s">
        <v>131</v>
      </c>
      <c r="F1498" s="2">
        <v>100</v>
      </c>
    </row>
    <row r="1499" spans="1:6">
      <c r="A1499" s="1">
        <v>43620</v>
      </c>
      <c r="B1499" t="s">
        <v>1645</v>
      </c>
      <c r="C1499" t="s">
        <v>182</v>
      </c>
      <c r="D1499" t="s">
        <v>159</v>
      </c>
      <c r="E1499" t="s">
        <v>134</v>
      </c>
      <c r="F1499" s="2">
        <v>150</v>
      </c>
    </row>
    <row r="1500" spans="1:6">
      <c r="A1500" s="1">
        <v>43620</v>
      </c>
      <c r="B1500" t="s">
        <v>1646</v>
      </c>
      <c r="C1500" t="s">
        <v>164</v>
      </c>
      <c r="D1500" t="s">
        <v>130</v>
      </c>
      <c r="E1500" t="s">
        <v>121</v>
      </c>
      <c r="F1500" s="2">
        <v>100</v>
      </c>
    </row>
    <row r="1501" spans="1:6">
      <c r="A1501" s="1">
        <v>43620</v>
      </c>
      <c r="B1501" t="s">
        <v>1647</v>
      </c>
      <c r="C1501" t="s">
        <v>164</v>
      </c>
      <c r="D1501" t="s">
        <v>159</v>
      </c>
      <c r="E1501" t="s">
        <v>121</v>
      </c>
      <c r="F1501" s="2">
        <v>150</v>
      </c>
    </row>
    <row r="1502" spans="1:6">
      <c r="A1502" s="1">
        <v>43620</v>
      </c>
      <c r="B1502" t="s">
        <v>1648</v>
      </c>
      <c r="C1502" t="s">
        <v>152</v>
      </c>
      <c r="D1502" t="s">
        <v>139</v>
      </c>
      <c r="E1502" t="s">
        <v>131</v>
      </c>
      <c r="F1502" s="2">
        <v>80</v>
      </c>
    </row>
    <row r="1503" spans="1:6">
      <c r="A1503" s="1">
        <v>43621</v>
      </c>
      <c r="B1503" t="s">
        <v>1649</v>
      </c>
      <c r="C1503" t="s">
        <v>148</v>
      </c>
      <c r="D1503" t="s">
        <v>130</v>
      </c>
      <c r="E1503" t="s">
        <v>121</v>
      </c>
      <c r="F1503" s="2">
        <v>100</v>
      </c>
    </row>
    <row r="1504" spans="1:6">
      <c r="A1504" s="1">
        <v>43621</v>
      </c>
      <c r="B1504" t="s">
        <v>1650</v>
      </c>
      <c r="C1504" t="s">
        <v>129</v>
      </c>
      <c r="D1504" t="s">
        <v>130</v>
      </c>
      <c r="E1504" t="s">
        <v>131</v>
      </c>
      <c r="F1504" s="2">
        <v>100</v>
      </c>
    </row>
    <row r="1505" spans="1:6">
      <c r="A1505" s="1">
        <v>43621</v>
      </c>
      <c r="B1505" t="s">
        <v>1651</v>
      </c>
      <c r="C1505" t="s">
        <v>125</v>
      </c>
      <c r="D1505" t="s">
        <v>159</v>
      </c>
      <c r="E1505" t="s">
        <v>134</v>
      </c>
      <c r="F1505" s="2">
        <v>150</v>
      </c>
    </row>
    <row r="1506" spans="1:6">
      <c r="A1506" s="1">
        <v>43621</v>
      </c>
      <c r="B1506" t="s">
        <v>1652</v>
      </c>
      <c r="C1506" t="s">
        <v>143</v>
      </c>
      <c r="D1506" t="s">
        <v>141</v>
      </c>
      <c r="E1506" t="s">
        <v>131</v>
      </c>
      <c r="F1506" s="2">
        <v>180</v>
      </c>
    </row>
    <row r="1507" spans="1:6">
      <c r="A1507" s="1">
        <v>43621</v>
      </c>
      <c r="B1507" t="s">
        <v>1653</v>
      </c>
      <c r="C1507" t="s">
        <v>189</v>
      </c>
      <c r="D1507" t="s">
        <v>133</v>
      </c>
      <c r="E1507" t="s">
        <v>121</v>
      </c>
      <c r="F1507" s="2">
        <v>30</v>
      </c>
    </row>
    <row r="1508" spans="1:6">
      <c r="A1508" s="1">
        <v>43621</v>
      </c>
      <c r="B1508" t="s">
        <v>1654</v>
      </c>
      <c r="C1508" t="s">
        <v>164</v>
      </c>
      <c r="D1508" t="s">
        <v>126</v>
      </c>
      <c r="E1508" t="s">
        <v>153</v>
      </c>
      <c r="F1508" s="2">
        <v>160</v>
      </c>
    </row>
    <row r="1509" spans="1:6">
      <c r="A1509" s="1">
        <v>43621</v>
      </c>
      <c r="B1509" t="s">
        <v>1655</v>
      </c>
      <c r="C1509" t="s">
        <v>136</v>
      </c>
      <c r="D1509" t="s">
        <v>120</v>
      </c>
      <c r="E1509" t="s">
        <v>153</v>
      </c>
      <c r="F1509" s="2">
        <v>90</v>
      </c>
    </row>
    <row r="1510" spans="1:6">
      <c r="A1510" s="1">
        <v>43621</v>
      </c>
      <c r="B1510" t="s">
        <v>1656</v>
      </c>
      <c r="C1510" t="s">
        <v>136</v>
      </c>
      <c r="D1510" t="s">
        <v>139</v>
      </c>
      <c r="E1510" t="s">
        <v>121</v>
      </c>
      <c r="F1510" s="2">
        <v>80</v>
      </c>
    </row>
    <row r="1511" spans="1:6">
      <c r="A1511" s="1">
        <v>43622</v>
      </c>
      <c r="B1511" t="s">
        <v>1657</v>
      </c>
      <c r="C1511" t="s">
        <v>164</v>
      </c>
      <c r="D1511" t="s">
        <v>126</v>
      </c>
      <c r="E1511" t="s">
        <v>134</v>
      </c>
      <c r="F1511" s="2">
        <v>160</v>
      </c>
    </row>
    <row r="1512" spans="1:6">
      <c r="A1512" s="1">
        <v>43622</v>
      </c>
      <c r="B1512" t="s">
        <v>1658</v>
      </c>
      <c r="C1512" t="s">
        <v>129</v>
      </c>
      <c r="D1512" t="s">
        <v>130</v>
      </c>
      <c r="E1512" t="s">
        <v>134</v>
      </c>
      <c r="F1512" s="2">
        <v>100</v>
      </c>
    </row>
    <row r="1513" spans="1:6">
      <c r="A1513" s="1">
        <v>43622</v>
      </c>
      <c r="B1513" t="s">
        <v>1659</v>
      </c>
      <c r="C1513" t="s">
        <v>157</v>
      </c>
      <c r="D1513" t="s">
        <v>126</v>
      </c>
      <c r="E1513" t="s">
        <v>127</v>
      </c>
      <c r="F1513" s="2">
        <v>160</v>
      </c>
    </row>
    <row r="1514" spans="1:6">
      <c r="A1514" s="1">
        <v>43622</v>
      </c>
      <c r="B1514" t="s">
        <v>1660</v>
      </c>
      <c r="C1514" t="s">
        <v>167</v>
      </c>
      <c r="D1514" t="s">
        <v>159</v>
      </c>
      <c r="E1514" t="s">
        <v>121</v>
      </c>
      <c r="F1514" s="2">
        <v>150</v>
      </c>
    </row>
    <row r="1515" spans="1:6">
      <c r="A1515" s="1">
        <v>43622</v>
      </c>
      <c r="B1515" t="s">
        <v>1661</v>
      </c>
      <c r="C1515" t="s">
        <v>187</v>
      </c>
      <c r="D1515" t="s">
        <v>130</v>
      </c>
      <c r="E1515" t="s">
        <v>127</v>
      </c>
      <c r="F1515" s="2">
        <v>100</v>
      </c>
    </row>
    <row r="1516" spans="1:6">
      <c r="A1516" s="1">
        <v>43622</v>
      </c>
      <c r="B1516" t="s">
        <v>1662</v>
      </c>
      <c r="C1516" t="s">
        <v>189</v>
      </c>
      <c r="D1516" t="s">
        <v>141</v>
      </c>
      <c r="E1516" t="s">
        <v>121</v>
      </c>
      <c r="F1516" s="2">
        <v>180</v>
      </c>
    </row>
    <row r="1517" spans="1:6">
      <c r="A1517" s="1">
        <v>43622</v>
      </c>
      <c r="B1517" t="s">
        <v>1663</v>
      </c>
      <c r="C1517" t="s">
        <v>187</v>
      </c>
      <c r="D1517" t="s">
        <v>130</v>
      </c>
      <c r="E1517" t="s">
        <v>127</v>
      </c>
      <c r="F1517" s="2">
        <v>100</v>
      </c>
    </row>
    <row r="1518" spans="1:6">
      <c r="A1518" s="1">
        <v>43622</v>
      </c>
      <c r="B1518" t="s">
        <v>1664</v>
      </c>
      <c r="C1518" t="s">
        <v>138</v>
      </c>
      <c r="D1518" t="s">
        <v>133</v>
      </c>
      <c r="E1518" t="s">
        <v>127</v>
      </c>
      <c r="F1518" s="2">
        <v>30</v>
      </c>
    </row>
    <row r="1519" spans="1:6">
      <c r="A1519" s="1">
        <v>43622</v>
      </c>
      <c r="B1519" t="s">
        <v>1665</v>
      </c>
      <c r="C1519" t="s">
        <v>187</v>
      </c>
      <c r="D1519" t="s">
        <v>126</v>
      </c>
      <c r="E1519" t="s">
        <v>121</v>
      </c>
      <c r="F1519" s="2">
        <v>160</v>
      </c>
    </row>
    <row r="1520" spans="1:6">
      <c r="A1520" s="1">
        <v>43622</v>
      </c>
      <c r="B1520" t="s">
        <v>1666</v>
      </c>
      <c r="C1520" t="s">
        <v>182</v>
      </c>
      <c r="D1520" t="s">
        <v>130</v>
      </c>
      <c r="E1520" t="s">
        <v>153</v>
      </c>
      <c r="F1520" s="2">
        <v>100</v>
      </c>
    </row>
    <row r="1521" spans="1:6">
      <c r="A1521" s="1">
        <v>43623</v>
      </c>
      <c r="B1521" t="s">
        <v>1667</v>
      </c>
      <c r="C1521" t="s">
        <v>119</v>
      </c>
      <c r="D1521" t="s">
        <v>126</v>
      </c>
      <c r="E1521" t="s">
        <v>153</v>
      </c>
      <c r="F1521" s="2">
        <v>160</v>
      </c>
    </row>
    <row r="1522" spans="1:6">
      <c r="A1522" s="1">
        <v>43623</v>
      </c>
      <c r="B1522" t="s">
        <v>1668</v>
      </c>
      <c r="C1522" t="s">
        <v>123</v>
      </c>
      <c r="D1522" t="s">
        <v>159</v>
      </c>
      <c r="E1522" t="s">
        <v>131</v>
      </c>
      <c r="F1522" s="2">
        <v>150</v>
      </c>
    </row>
    <row r="1523" spans="1:6">
      <c r="A1523" s="1">
        <v>43623</v>
      </c>
      <c r="B1523" t="s">
        <v>1669</v>
      </c>
      <c r="C1523" t="s">
        <v>223</v>
      </c>
      <c r="D1523" t="s">
        <v>120</v>
      </c>
      <c r="E1523" t="s">
        <v>127</v>
      </c>
      <c r="F1523" s="2">
        <v>90</v>
      </c>
    </row>
    <row r="1524" spans="1:6">
      <c r="A1524" s="1">
        <v>43623</v>
      </c>
      <c r="B1524" t="s">
        <v>1670</v>
      </c>
      <c r="C1524" t="s">
        <v>182</v>
      </c>
      <c r="D1524" t="s">
        <v>130</v>
      </c>
      <c r="E1524" t="s">
        <v>134</v>
      </c>
      <c r="F1524" s="2">
        <v>100</v>
      </c>
    </row>
    <row r="1525" spans="1:6">
      <c r="A1525" s="1">
        <v>43623</v>
      </c>
      <c r="B1525" t="s">
        <v>1671</v>
      </c>
      <c r="C1525" t="s">
        <v>143</v>
      </c>
      <c r="D1525" t="s">
        <v>126</v>
      </c>
      <c r="E1525" t="s">
        <v>153</v>
      </c>
      <c r="F1525" s="2">
        <v>160</v>
      </c>
    </row>
    <row r="1526" spans="1:6">
      <c r="A1526" s="1">
        <v>43623</v>
      </c>
      <c r="B1526" t="s">
        <v>1672</v>
      </c>
      <c r="C1526" t="s">
        <v>123</v>
      </c>
      <c r="D1526" t="s">
        <v>146</v>
      </c>
      <c r="E1526" t="s">
        <v>134</v>
      </c>
      <c r="F1526" s="2">
        <v>50</v>
      </c>
    </row>
    <row r="1527" spans="1:6">
      <c r="A1527" s="1">
        <v>43623</v>
      </c>
      <c r="B1527" t="s">
        <v>1673</v>
      </c>
      <c r="C1527" t="s">
        <v>143</v>
      </c>
      <c r="D1527" t="s">
        <v>159</v>
      </c>
      <c r="E1527" t="s">
        <v>153</v>
      </c>
      <c r="F1527" s="2">
        <v>150</v>
      </c>
    </row>
    <row r="1528" spans="1:6">
      <c r="A1528" s="1">
        <v>43623</v>
      </c>
      <c r="B1528" t="s">
        <v>1674</v>
      </c>
      <c r="C1528" t="s">
        <v>223</v>
      </c>
      <c r="D1528" t="s">
        <v>130</v>
      </c>
      <c r="E1528" t="s">
        <v>153</v>
      </c>
      <c r="F1528" s="2">
        <v>100</v>
      </c>
    </row>
    <row r="1529" spans="1:6">
      <c r="A1529" s="1">
        <v>43623</v>
      </c>
      <c r="B1529" t="s">
        <v>1675</v>
      </c>
      <c r="C1529" t="s">
        <v>152</v>
      </c>
      <c r="D1529" t="s">
        <v>126</v>
      </c>
      <c r="E1529" t="s">
        <v>127</v>
      </c>
      <c r="F1529" s="2">
        <v>160</v>
      </c>
    </row>
    <row r="1530" spans="1:6">
      <c r="A1530" s="1">
        <v>43623</v>
      </c>
      <c r="B1530" t="s">
        <v>1676</v>
      </c>
      <c r="C1530" t="s">
        <v>164</v>
      </c>
      <c r="D1530" t="s">
        <v>133</v>
      </c>
      <c r="E1530" t="s">
        <v>127</v>
      </c>
      <c r="F1530" s="2">
        <v>30</v>
      </c>
    </row>
    <row r="1531" spans="1:6">
      <c r="A1531" s="1">
        <v>43624</v>
      </c>
      <c r="B1531" t="s">
        <v>1677</v>
      </c>
      <c r="C1531" t="s">
        <v>189</v>
      </c>
      <c r="D1531" t="s">
        <v>120</v>
      </c>
      <c r="E1531" t="s">
        <v>131</v>
      </c>
      <c r="F1531" s="2">
        <v>90</v>
      </c>
    </row>
    <row r="1532" spans="1:6">
      <c r="A1532" s="1">
        <v>43624</v>
      </c>
      <c r="B1532" t="s">
        <v>1678</v>
      </c>
      <c r="C1532" t="s">
        <v>138</v>
      </c>
      <c r="D1532" t="s">
        <v>139</v>
      </c>
      <c r="E1532" t="s">
        <v>153</v>
      </c>
      <c r="F1532" s="2">
        <v>80</v>
      </c>
    </row>
    <row r="1533" spans="1:6">
      <c r="A1533" s="1">
        <v>43624</v>
      </c>
      <c r="B1533" t="s">
        <v>1679</v>
      </c>
      <c r="C1533" t="s">
        <v>123</v>
      </c>
      <c r="D1533" t="s">
        <v>130</v>
      </c>
      <c r="E1533" t="s">
        <v>153</v>
      </c>
      <c r="F1533" s="2">
        <v>100</v>
      </c>
    </row>
    <row r="1534" spans="1:6">
      <c r="A1534" s="1">
        <v>43624</v>
      </c>
      <c r="B1534" t="s">
        <v>1680</v>
      </c>
      <c r="C1534" t="s">
        <v>182</v>
      </c>
      <c r="D1534" t="s">
        <v>159</v>
      </c>
      <c r="E1534" t="s">
        <v>121</v>
      </c>
      <c r="F1534" s="2">
        <v>150</v>
      </c>
    </row>
    <row r="1535" spans="1:6">
      <c r="A1535" s="1">
        <v>43624</v>
      </c>
      <c r="B1535" t="s">
        <v>1681</v>
      </c>
      <c r="C1535" t="s">
        <v>143</v>
      </c>
      <c r="D1535" t="s">
        <v>133</v>
      </c>
      <c r="E1535" t="s">
        <v>127</v>
      </c>
      <c r="F1535" s="2">
        <v>30</v>
      </c>
    </row>
    <row r="1536" spans="1:6">
      <c r="A1536" s="1">
        <v>43624</v>
      </c>
      <c r="B1536" t="s">
        <v>1682</v>
      </c>
      <c r="C1536" t="s">
        <v>157</v>
      </c>
      <c r="D1536" t="s">
        <v>130</v>
      </c>
      <c r="E1536" t="s">
        <v>134</v>
      </c>
      <c r="F1536" s="2">
        <v>100</v>
      </c>
    </row>
    <row r="1537" spans="1:6">
      <c r="A1537" s="1">
        <v>43624</v>
      </c>
      <c r="B1537" t="s">
        <v>1683</v>
      </c>
      <c r="C1537" t="s">
        <v>125</v>
      </c>
      <c r="D1537" t="s">
        <v>141</v>
      </c>
      <c r="E1537" t="s">
        <v>134</v>
      </c>
      <c r="F1537" s="2">
        <v>180</v>
      </c>
    </row>
    <row r="1538" spans="1:6">
      <c r="A1538" s="1">
        <v>43624</v>
      </c>
      <c r="B1538" t="s">
        <v>1684</v>
      </c>
      <c r="C1538" t="s">
        <v>138</v>
      </c>
      <c r="D1538" t="s">
        <v>141</v>
      </c>
      <c r="E1538" t="s">
        <v>127</v>
      </c>
      <c r="F1538" s="2">
        <v>180</v>
      </c>
    </row>
    <row r="1539" spans="1:6">
      <c r="A1539" s="1">
        <v>43624</v>
      </c>
      <c r="B1539" t="s">
        <v>1685</v>
      </c>
      <c r="C1539" t="s">
        <v>145</v>
      </c>
      <c r="D1539" t="s">
        <v>120</v>
      </c>
      <c r="E1539" t="s">
        <v>127</v>
      </c>
      <c r="F1539" s="2">
        <v>90</v>
      </c>
    </row>
    <row r="1540" spans="1:6">
      <c r="A1540" s="1">
        <v>43624</v>
      </c>
      <c r="B1540" t="s">
        <v>1686</v>
      </c>
      <c r="C1540" t="s">
        <v>145</v>
      </c>
      <c r="D1540" t="s">
        <v>120</v>
      </c>
      <c r="E1540" t="s">
        <v>127</v>
      </c>
      <c r="F1540" s="2">
        <v>90</v>
      </c>
    </row>
    <row r="1541" spans="1:6">
      <c r="A1541" s="1">
        <v>43624</v>
      </c>
      <c r="B1541" t="s">
        <v>1687</v>
      </c>
      <c r="C1541" t="s">
        <v>119</v>
      </c>
      <c r="D1541" t="s">
        <v>159</v>
      </c>
      <c r="E1541" t="s">
        <v>134</v>
      </c>
      <c r="F1541" s="2">
        <v>150</v>
      </c>
    </row>
    <row r="1542" spans="1:6">
      <c r="A1542" s="1">
        <v>43625</v>
      </c>
      <c r="B1542" t="s">
        <v>1688</v>
      </c>
      <c r="C1542" t="s">
        <v>152</v>
      </c>
      <c r="D1542" t="s">
        <v>133</v>
      </c>
      <c r="E1542" t="s">
        <v>153</v>
      </c>
      <c r="F1542" s="2">
        <v>30</v>
      </c>
    </row>
    <row r="1543" spans="1:6">
      <c r="A1543" s="1">
        <v>43625</v>
      </c>
      <c r="B1543" t="s">
        <v>1689</v>
      </c>
      <c r="C1543" t="s">
        <v>145</v>
      </c>
      <c r="D1543" t="s">
        <v>120</v>
      </c>
      <c r="E1543" t="s">
        <v>127</v>
      </c>
      <c r="F1543" s="2">
        <v>90</v>
      </c>
    </row>
    <row r="1544" spans="1:6">
      <c r="A1544" s="1">
        <v>43625</v>
      </c>
      <c r="B1544" t="s">
        <v>1690</v>
      </c>
      <c r="C1544" t="s">
        <v>138</v>
      </c>
      <c r="D1544" t="s">
        <v>141</v>
      </c>
      <c r="E1544" t="s">
        <v>121</v>
      </c>
      <c r="F1544" s="2">
        <v>180</v>
      </c>
    </row>
    <row r="1545" spans="1:6">
      <c r="A1545" s="1">
        <v>43625</v>
      </c>
      <c r="B1545" t="s">
        <v>1691</v>
      </c>
      <c r="C1545" t="s">
        <v>125</v>
      </c>
      <c r="D1545" t="s">
        <v>130</v>
      </c>
      <c r="E1545" t="s">
        <v>131</v>
      </c>
      <c r="F1545" s="2">
        <v>100</v>
      </c>
    </row>
    <row r="1546" spans="1:6">
      <c r="A1546" s="1">
        <v>43625</v>
      </c>
      <c r="B1546" t="s">
        <v>1692</v>
      </c>
      <c r="C1546" t="s">
        <v>138</v>
      </c>
      <c r="D1546" t="s">
        <v>141</v>
      </c>
      <c r="E1546" t="s">
        <v>121</v>
      </c>
      <c r="F1546" s="2">
        <v>180</v>
      </c>
    </row>
    <row r="1547" spans="1:6">
      <c r="A1547" s="1">
        <v>43625</v>
      </c>
      <c r="B1547" t="s">
        <v>1693</v>
      </c>
      <c r="C1547" t="s">
        <v>119</v>
      </c>
      <c r="D1547" t="s">
        <v>141</v>
      </c>
      <c r="E1547" t="s">
        <v>134</v>
      </c>
      <c r="F1547" s="2">
        <v>180</v>
      </c>
    </row>
    <row r="1548" spans="1:6">
      <c r="A1548" s="1">
        <v>43625</v>
      </c>
      <c r="B1548" t="s">
        <v>1694</v>
      </c>
      <c r="C1548" t="s">
        <v>129</v>
      </c>
      <c r="D1548" t="s">
        <v>139</v>
      </c>
      <c r="E1548" t="s">
        <v>127</v>
      </c>
      <c r="F1548" s="2">
        <v>80</v>
      </c>
    </row>
    <row r="1549" spans="1:6">
      <c r="A1549" s="1">
        <v>43625</v>
      </c>
      <c r="B1549" t="s">
        <v>1695</v>
      </c>
      <c r="C1549" t="s">
        <v>189</v>
      </c>
      <c r="D1549" t="s">
        <v>146</v>
      </c>
      <c r="E1549" t="s">
        <v>153</v>
      </c>
      <c r="F1549" s="2">
        <v>50</v>
      </c>
    </row>
    <row r="1550" spans="1:6">
      <c r="A1550" s="1">
        <v>43625</v>
      </c>
      <c r="B1550" t="s">
        <v>1696</v>
      </c>
      <c r="C1550" t="s">
        <v>123</v>
      </c>
      <c r="D1550" t="s">
        <v>141</v>
      </c>
      <c r="E1550" t="s">
        <v>153</v>
      </c>
      <c r="F1550" s="2">
        <v>180</v>
      </c>
    </row>
    <row r="1551" spans="1:6">
      <c r="A1551" s="1">
        <v>43625</v>
      </c>
      <c r="B1551" t="s">
        <v>1697</v>
      </c>
      <c r="C1551" t="s">
        <v>136</v>
      </c>
      <c r="D1551" t="s">
        <v>120</v>
      </c>
      <c r="E1551" t="s">
        <v>134</v>
      </c>
      <c r="F1551" s="2">
        <v>90</v>
      </c>
    </row>
    <row r="1552" spans="1:6">
      <c r="A1552" s="1">
        <v>43625</v>
      </c>
      <c r="B1552" t="s">
        <v>1698</v>
      </c>
      <c r="C1552" t="s">
        <v>125</v>
      </c>
      <c r="D1552" t="s">
        <v>159</v>
      </c>
      <c r="E1552" t="s">
        <v>121</v>
      </c>
      <c r="F1552" s="2">
        <v>150</v>
      </c>
    </row>
    <row r="1553" spans="1:6">
      <c r="A1553" s="1">
        <v>43626</v>
      </c>
      <c r="B1553" t="s">
        <v>1699</v>
      </c>
      <c r="C1553" t="s">
        <v>125</v>
      </c>
      <c r="D1553" t="s">
        <v>133</v>
      </c>
      <c r="E1553" t="s">
        <v>153</v>
      </c>
      <c r="F1553" s="2">
        <v>30</v>
      </c>
    </row>
    <row r="1554" spans="1:6">
      <c r="A1554" s="1">
        <v>43626</v>
      </c>
      <c r="B1554" t="s">
        <v>1700</v>
      </c>
      <c r="C1554" t="s">
        <v>123</v>
      </c>
      <c r="D1554" t="s">
        <v>120</v>
      </c>
      <c r="E1554" t="s">
        <v>127</v>
      </c>
      <c r="F1554" s="2">
        <v>90</v>
      </c>
    </row>
    <row r="1555" spans="1:6">
      <c r="A1555" s="1">
        <v>43626</v>
      </c>
      <c r="B1555" t="s">
        <v>1701</v>
      </c>
      <c r="C1555" t="s">
        <v>157</v>
      </c>
      <c r="D1555" t="s">
        <v>141</v>
      </c>
      <c r="E1555" t="s">
        <v>131</v>
      </c>
      <c r="F1555" s="2">
        <v>180</v>
      </c>
    </row>
    <row r="1556" spans="1:6">
      <c r="A1556" s="1">
        <v>43626</v>
      </c>
      <c r="B1556" t="s">
        <v>1702</v>
      </c>
      <c r="C1556" t="s">
        <v>152</v>
      </c>
      <c r="D1556" t="s">
        <v>141</v>
      </c>
      <c r="E1556" t="s">
        <v>134</v>
      </c>
      <c r="F1556" s="2">
        <v>180</v>
      </c>
    </row>
    <row r="1557" spans="1:6">
      <c r="A1557" s="1">
        <v>43626</v>
      </c>
      <c r="B1557" t="s">
        <v>1703</v>
      </c>
      <c r="C1557" t="s">
        <v>189</v>
      </c>
      <c r="D1557" t="s">
        <v>126</v>
      </c>
      <c r="E1557" t="s">
        <v>127</v>
      </c>
      <c r="F1557" s="2">
        <v>160</v>
      </c>
    </row>
    <row r="1558" spans="1:6">
      <c r="A1558" s="1">
        <v>43626</v>
      </c>
      <c r="B1558" t="s">
        <v>1704</v>
      </c>
      <c r="C1558" t="s">
        <v>145</v>
      </c>
      <c r="D1558" t="s">
        <v>159</v>
      </c>
      <c r="E1558" t="s">
        <v>153</v>
      </c>
      <c r="F1558" s="2">
        <v>150</v>
      </c>
    </row>
    <row r="1559" spans="1:6">
      <c r="A1559" s="1">
        <v>43626</v>
      </c>
      <c r="B1559" t="s">
        <v>1705</v>
      </c>
      <c r="C1559" t="s">
        <v>136</v>
      </c>
      <c r="D1559" t="s">
        <v>126</v>
      </c>
      <c r="E1559" t="s">
        <v>153</v>
      </c>
      <c r="F1559" s="2">
        <v>160</v>
      </c>
    </row>
    <row r="1560" spans="1:6">
      <c r="A1560" s="1">
        <v>43626</v>
      </c>
      <c r="B1560" t="s">
        <v>1706</v>
      </c>
      <c r="C1560" t="s">
        <v>157</v>
      </c>
      <c r="D1560" t="s">
        <v>126</v>
      </c>
      <c r="E1560" t="s">
        <v>127</v>
      </c>
      <c r="F1560" s="2">
        <v>160</v>
      </c>
    </row>
    <row r="1561" spans="1:6">
      <c r="A1561" s="1">
        <v>43626</v>
      </c>
      <c r="B1561" t="s">
        <v>1707</v>
      </c>
      <c r="C1561" t="s">
        <v>182</v>
      </c>
      <c r="D1561" t="s">
        <v>130</v>
      </c>
      <c r="E1561" t="s">
        <v>134</v>
      </c>
      <c r="F1561" s="2">
        <v>100</v>
      </c>
    </row>
    <row r="1562" spans="1:6">
      <c r="A1562" s="1">
        <v>43626</v>
      </c>
      <c r="B1562" t="s">
        <v>1708</v>
      </c>
      <c r="C1562" t="s">
        <v>123</v>
      </c>
      <c r="D1562" t="s">
        <v>141</v>
      </c>
      <c r="E1562" t="s">
        <v>131</v>
      </c>
      <c r="F1562" s="2">
        <v>180</v>
      </c>
    </row>
    <row r="1563" spans="1:6">
      <c r="A1563" s="1">
        <v>43626</v>
      </c>
      <c r="B1563" t="s">
        <v>1709</v>
      </c>
      <c r="C1563" t="s">
        <v>182</v>
      </c>
      <c r="D1563" t="s">
        <v>120</v>
      </c>
      <c r="E1563" t="s">
        <v>131</v>
      </c>
      <c r="F1563" s="2">
        <v>90</v>
      </c>
    </row>
    <row r="1564" spans="1:6">
      <c r="A1564" s="1">
        <v>43626</v>
      </c>
      <c r="B1564" t="s">
        <v>1710</v>
      </c>
      <c r="C1564" t="s">
        <v>138</v>
      </c>
      <c r="D1564" t="s">
        <v>146</v>
      </c>
      <c r="E1564" t="s">
        <v>121</v>
      </c>
      <c r="F1564" s="2">
        <v>50</v>
      </c>
    </row>
    <row r="1565" spans="1:6">
      <c r="A1565" s="1">
        <v>43626</v>
      </c>
      <c r="B1565" t="s">
        <v>1711</v>
      </c>
      <c r="C1565" t="s">
        <v>148</v>
      </c>
      <c r="D1565" t="s">
        <v>120</v>
      </c>
      <c r="E1565" t="s">
        <v>131</v>
      </c>
      <c r="F1565" s="2">
        <v>90</v>
      </c>
    </row>
    <row r="1566" spans="1:6">
      <c r="A1566" s="1">
        <v>43627</v>
      </c>
      <c r="B1566" t="s">
        <v>1712</v>
      </c>
      <c r="C1566" t="s">
        <v>189</v>
      </c>
      <c r="D1566" t="s">
        <v>126</v>
      </c>
      <c r="E1566" t="s">
        <v>121</v>
      </c>
      <c r="F1566" s="2">
        <v>160</v>
      </c>
    </row>
    <row r="1567" spans="1:6">
      <c r="A1567" s="1">
        <v>43627</v>
      </c>
      <c r="B1567" t="s">
        <v>1713</v>
      </c>
      <c r="C1567" t="s">
        <v>152</v>
      </c>
      <c r="D1567" t="s">
        <v>133</v>
      </c>
      <c r="E1567" t="s">
        <v>127</v>
      </c>
      <c r="F1567" s="2">
        <v>30</v>
      </c>
    </row>
    <row r="1568" spans="1:6">
      <c r="A1568" s="1">
        <v>43627</v>
      </c>
      <c r="B1568" t="s">
        <v>1714</v>
      </c>
      <c r="C1568" t="s">
        <v>182</v>
      </c>
      <c r="D1568" t="s">
        <v>159</v>
      </c>
      <c r="E1568" t="s">
        <v>127</v>
      </c>
      <c r="F1568" s="2">
        <v>150</v>
      </c>
    </row>
    <row r="1569" spans="1:6">
      <c r="A1569" s="1">
        <v>43627</v>
      </c>
      <c r="B1569" t="s">
        <v>1715</v>
      </c>
      <c r="C1569" t="s">
        <v>136</v>
      </c>
      <c r="D1569" t="s">
        <v>141</v>
      </c>
      <c r="E1569" t="s">
        <v>131</v>
      </c>
      <c r="F1569" s="2">
        <v>180</v>
      </c>
    </row>
    <row r="1570" spans="1:6">
      <c r="A1570" s="1">
        <v>43627</v>
      </c>
      <c r="B1570" t="s">
        <v>1716</v>
      </c>
      <c r="C1570" t="s">
        <v>136</v>
      </c>
      <c r="D1570" t="s">
        <v>120</v>
      </c>
      <c r="E1570" t="s">
        <v>127</v>
      </c>
      <c r="F1570" s="2">
        <v>90</v>
      </c>
    </row>
    <row r="1571" spans="1:6">
      <c r="A1571" s="1">
        <v>43627</v>
      </c>
      <c r="B1571" t="s">
        <v>1717</v>
      </c>
      <c r="C1571" t="s">
        <v>119</v>
      </c>
      <c r="D1571" t="s">
        <v>146</v>
      </c>
      <c r="E1571" t="s">
        <v>131</v>
      </c>
      <c r="F1571" s="2">
        <v>50</v>
      </c>
    </row>
    <row r="1572" spans="1:6">
      <c r="A1572" s="1">
        <v>43627</v>
      </c>
      <c r="B1572" t="s">
        <v>1718</v>
      </c>
      <c r="C1572" t="s">
        <v>182</v>
      </c>
      <c r="D1572" t="s">
        <v>133</v>
      </c>
      <c r="E1572" t="s">
        <v>153</v>
      </c>
      <c r="F1572" s="2">
        <v>30</v>
      </c>
    </row>
    <row r="1573" spans="1:6">
      <c r="A1573" s="1">
        <v>43627</v>
      </c>
      <c r="B1573" t="s">
        <v>1719</v>
      </c>
      <c r="C1573" t="s">
        <v>119</v>
      </c>
      <c r="D1573" t="s">
        <v>141</v>
      </c>
      <c r="E1573" t="s">
        <v>131</v>
      </c>
      <c r="F1573" s="2">
        <v>180</v>
      </c>
    </row>
    <row r="1574" spans="1:6">
      <c r="A1574" s="1">
        <v>43627</v>
      </c>
      <c r="B1574" t="s">
        <v>1720</v>
      </c>
      <c r="C1574" t="s">
        <v>187</v>
      </c>
      <c r="D1574" t="s">
        <v>133</v>
      </c>
      <c r="E1574" t="s">
        <v>127</v>
      </c>
      <c r="F1574" s="2">
        <v>30</v>
      </c>
    </row>
    <row r="1575" spans="1:6">
      <c r="A1575" s="1">
        <v>43627</v>
      </c>
      <c r="B1575" t="s">
        <v>1721</v>
      </c>
      <c r="C1575" t="s">
        <v>145</v>
      </c>
      <c r="D1575" t="s">
        <v>120</v>
      </c>
      <c r="E1575" t="s">
        <v>134</v>
      </c>
      <c r="F1575" s="2">
        <v>90</v>
      </c>
    </row>
    <row r="1576" spans="1:6">
      <c r="A1576" s="1">
        <v>43628</v>
      </c>
      <c r="B1576" t="s">
        <v>1722</v>
      </c>
      <c r="C1576" t="s">
        <v>223</v>
      </c>
      <c r="D1576" t="s">
        <v>146</v>
      </c>
      <c r="E1576" t="s">
        <v>134</v>
      </c>
      <c r="F1576" s="2">
        <v>50</v>
      </c>
    </row>
    <row r="1577" spans="1:6">
      <c r="A1577" s="1">
        <v>43628</v>
      </c>
      <c r="B1577" t="s">
        <v>1723</v>
      </c>
      <c r="C1577" t="s">
        <v>167</v>
      </c>
      <c r="D1577" t="s">
        <v>139</v>
      </c>
      <c r="E1577" t="s">
        <v>127</v>
      </c>
      <c r="F1577" s="2">
        <v>80</v>
      </c>
    </row>
    <row r="1578" spans="1:6">
      <c r="A1578" s="1">
        <v>43628</v>
      </c>
      <c r="B1578" t="s">
        <v>1724</v>
      </c>
      <c r="C1578" t="s">
        <v>143</v>
      </c>
      <c r="D1578" t="s">
        <v>126</v>
      </c>
      <c r="E1578" t="s">
        <v>121</v>
      </c>
      <c r="F1578" s="2">
        <v>160</v>
      </c>
    </row>
    <row r="1579" spans="1:6">
      <c r="A1579" s="1">
        <v>43628</v>
      </c>
      <c r="B1579" t="s">
        <v>1725</v>
      </c>
      <c r="C1579" t="s">
        <v>136</v>
      </c>
      <c r="D1579" t="s">
        <v>146</v>
      </c>
      <c r="E1579" t="s">
        <v>153</v>
      </c>
      <c r="F1579" s="2">
        <v>50</v>
      </c>
    </row>
    <row r="1580" spans="1:6">
      <c r="A1580" s="1">
        <v>43628</v>
      </c>
      <c r="B1580" t="s">
        <v>1726</v>
      </c>
      <c r="C1580" t="s">
        <v>119</v>
      </c>
      <c r="D1580" t="s">
        <v>133</v>
      </c>
      <c r="E1580" t="s">
        <v>131</v>
      </c>
      <c r="F1580" s="2">
        <v>30</v>
      </c>
    </row>
    <row r="1581" spans="1:6">
      <c r="A1581" s="1">
        <v>43628</v>
      </c>
      <c r="B1581" t="s">
        <v>1727</v>
      </c>
      <c r="C1581" t="s">
        <v>129</v>
      </c>
      <c r="D1581" t="s">
        <v>139</v>
      </c>
      <c r="E1581" t="s">
        <v>121</v>
      </c>
      <c r="F1581" s="2">
        <v>80</v>
      </c>
    </row>
    <row r="1582" spans="1:6">
      <c r="A1582" s="1">
        <v>43629</v>
      </c>
      <c r="B1582" t="s">
        <v>1728</v>
      </c>
      <c r="C1582" t="s">
        <v>189</v>
      </c>
      <c r="D1582" t="s">
        <v>146</v>
      </c>
      <c r="E1582" t="s">
        <v>127</v>
      </c>
      <c r="F1582" s="2">
        <v>50</v>
      </c>
    </row>
    <row r="1583" spans="1:6">
      <c r="A1583" s="1">
        <v>43629</v>
      </c>
      <c r="B1583" t="s">
        <v>1729</v>
      </c>
      <c r="C1583" t="s">
        <v>164</v>
      </c>
      <c r="D1583" t="s">
        <v>130</v>
      </c>
      <c r="E1583" t="s">
        <v>153</v>
      </c>
      <c r="F1583" s="2">
        <v>100</v>
      </c>
    </row>
    <row r="1584" spans="1:6">
      <c r="A1584" s="1">
        <v>43629</v>
      </c>
      <c r="B1584" t="s">
        <v>1730</v>
      </c>
      <c r="C1584" t="s">
        <v>187</v>
      </c>
      <c r="D1584" t="s">
        <v>120</v>
      </c>
      <c r="E1584" t="s">
        <v>127</v>
      </c>
      <c r="F1584" s="2">
        <v>90</v>
      </c>
    </row>
    <row r="1585" spans="1:6">
      <c r="A1585" s="1">
        <v>43629</v>
      </c>
      <c r="B1585" t="s">
        <v>1731</v>
      </c>
      <c r="C1585" t="s">
        <v>152</v>
      </c>
      <c r="D1585" t="s">
        <v>141</v>
      </c>
      <c r="E1585" t="s">
        <v>134</v>
      </c>
      <c r="F1585" s="2">
        <v>180</v>
      </c>
    </row>
    <row r="1586" spans="1:6">
      <c r="A1586" s="1">
        <v>43629</v>
      </c>
      <c r="B1586" t="s">
        <v>1732</v>
      </c>
      <c r="C1586" t="s">
        <v>189</v>
      </c>
      <c r="D1586" t="s">
        <v>159</v>
      </c>
      <c r="E1586" t="s">
        <v>134</v>
      </c>
      <c r="F1586" s="2">
        <v>150</v>
      </c>
    </row>
    <row r="1587" spans="1:6">
      <c r="A1587" s="1">
        <v>43629</v>
      </c>
      <c r="B1587" t="s">
        <v>1733</v>
      </c>
      <c r="C1587" t="s">
        <v>187</v>
      </c>
      <c r="D1587" t="s">
        <v>159</v>
      </c>
      <c r="E1587" t="s">
        <v>127</v>
      </c>
      <c r="F1587" s="2">
        <v>150</v>
      </c>
    </row>
    <row r="1588" spans="1:6">
      <c r="A1588" s="1">
        <v>43629</v>
      </c>
      <c r="B1588" t="s">
        <v>1734</v>
      </c>
      <c r="C1588" t="s">
        <v>223</v>
      </c>
      <c r="D1588" t="s">
        <v>159</v>
      </c>
      <c r="E1588" t="s">
        <v>153</v>
      </c>
      <c r="F1588" s="2">
        <v>150</v>
      </c>
    </row>
    <row r="1589" spans="1:6">
      <c r="A1589" s="1">
        <v>43629</v>
      </c>
      <c r="B1589" t="s">
        <v>1735</v>
      </c>
      <c r="C1589" t="s">
        <v>189</v>
      </c>
      <c r="D1589" t="s">
        <v>139</v>
      </c>
      <c r="E1589" t="s">
        <v>153</v>
      </c>
      <c r="F1589" s="2">
        <v>80</v>
      </c>
    </row>
    <row r="1590" spans="1:6">
      <c r="A1590" s="1">
        <v>43629</v>
      </c>
      <c r="B1590" t="s">
        <v>1736</v>
      </c>
      <c r="C1590" t="s">
        <v>164</v>
      </c>
      <c r="D1590" t="s">
        <v>120</v>
      </c>
      <c r="E1590" t="s">
        <v>153</v>
      </c>
      <c r="F1590" s="2">
        <v>90</v>
      </c>
    </row>
    <row r="1591" spans="1:6">
      <c r="A1591" s="1">
        <v>43629</v>
      </c>
      <c r="B1591" t="s">
        <v>1737</v>
      </c>
      <c r="C1591" t="s">
        <v>164</v>
      </c>
      <c r="D1591" t="s">
        <v>133</v>
      </c>
      <c r="E1591" t="s">
        <v>127</v>
      </c>
      <c r="F1591" s="2">
        <v>30</v>
      </c>
    </row>
    <row r="1592" spans="1:6">
      <c r="A1592" s="1">
        <v>43630</v>
      </c>
      <c r="B1592" t="s">
        <v>1738</v>
      </c>
      <c r="C1592" t="s">
        <v>164</v>
      </c>
      <c r="D1592" t="s">
        <v>139</v>
      </c>
      <c r="E1592" t="s">
        <v>134</v>
      </c>
      <c r="F1592" s="2">
        <v>80</v>
      </c>
    </row>
    <row r="1593" spans="1:6">
      <c r="A1593" s="1">
        <v>43630</v>
      </c>
      <c r="B1593" t="s">
        <v>1739</v>
      </c>
      <c r="C1593" t="s">
        <v>129</v>
      </c>
      <c r="D1593" t="s">
        <v>120</v>
      </c>
      <c r="E1593" t="s">
        <v>121</v>
      </c>
      <c r="F1593" s="2">
        <v>90</v>
      </c>
    </row>
    <row r="1594" spans="1:6">
      <c r="A1594" s="1">
        <v>43630</v>
      </c>
      <c r="B1594" t="s">
        <v>1740</v>
      </c>
      <c r="C1594" t="s">
        <v>152</v>
      </c>
      <c r="D1594" t="s">
        <v>159</v>
      </c>
      <c r="E1594" t="s">
        <v>121</v>
      </c>
      <c r="F1594" s="2">
        <v>150</v>
      </c>
    </row>
    <row r="1595" spans="1:6">
      <c r="A1595" s="1">
        <v>43630</v>
      </c>
      <c r="B1595" t="s">
        <v>1741</v>
      </c>
      <c r="C1595" t="s">
        <v>123</v>
      </c>
      <c r="D1595" t="s">
        <v>146</v>
      </c>
      <c r="E1595" t="s">
        <v>134</v>
      </c>
      <c r="F1595" s="2">
        <v>50</v>
      </c>
    </row>
    <row r="1596" spans="1:6">
      <c r="A1596" s="1">
        <v>43630</v>
      </c>
      <c r="B1596" t="s">
        <v>1742</v>
      </c>
      <c r="C1596" t="s">
        <v>119</v>
      </c>
      <c r="D1596" t="s">
        <v>133</v>
      </c>
      <c r="E1596" t="s">
        <v>134</v>
      </c>
      <c r="F1596" s="2">
        <v>30</v>
      </c>
    </row>
    <row r="1597" spans="1:6">
      <c r="A1597" s="1">
        <v>43630</v>
      </c>
      <c r="B1597" t="s">
        <v>1743</v>
      </c>
      <c r="C1597" t="s">
        <v>157</v>
      </c>
      <c r="D1597" t="s">
        <v>159</v>
      </c>
      <c r="E1597" t="s">
        <v>121</v>
      </c>
      <c r="F1597" s="2">
        <v>150</v>
      </c>
    </row>
    <row r="1598" spans="1:6">
      <c r="A1598" s="1">
        <v>43630</v>
      </c>
      <c r="B1598" t="s">
        <v>1744</v>
      </c>
      <c r="C1598" t="s">
        <v>164</v>
      </c>
      <c r="D1598" t="s">
        <v>141</v>
      </c>
      <c r="E1598" t="s">
        <v>153</v>
      </c>
      <c r="F1598" s="2">
        <v>180</v>
      </c>
    </row>
    <row r="1599" spans="1:6">
      <c r="A1599" s="1">
        <v>43630</v>
      </c>
      <c r="B1599" t="s">
        <v>1745</v>
      </c>
      <c r="C1599" t="s">
        <v>138</v>
      </c>
      <c r="D1599" t="s">
        <v>159</v>
      </c>
      <c r="E1599" t="s">
        <v>153</v>
      </c>
      <c r="F1599" s="2">
        <v>150</v>
      </c>
    </row>
    <row r="1600" spans="1:6">
      <c r="A1600" s="1">
        <v>43630</v>
      </c>
      <c r="B1600" t="s">
        <v>1746</v>
      </c>
      <c r="C1600" t="s">
        <v>223</v>
      </c>
      <c r="D1600" t="s">
        <v>139</v>
      </c>
      <c r="E1600" t="s">
        <v>121</v>
      </c>
      <c r="F1600" s="2">
        <v>80</v>
      </c>
    </row>
    <row r="1601" spans="1:6">
      <c r="A1601" s="1">
        <v>43630</v>
      </c>
      <c r="B1601" t="s">
        <v>1747</v>
      </c>
      <c r="C1601" t="s">
        <v>125</v>
      </c>
      <c r="D1601" t="s">
        <v>146</v>
      </c>
      <c r="E1601" t="s">
        <v>131</v>
      </c>
      <c r="F1601" s="2">
        <v>50</v>
      </c>
    </row>
    <row r="1602" spans="1:6">
      <c r="A1602" s="1">
        <v>43631</v>
      </c>
      <c r="B1602" t="s">
        <v>1748</v>
      </c>
      <c r="C1602" t="s">
        <v>136</v>
      </c>
      <c r="D1602" t="s">
        <v>141</v>
      </c>
      <c r="E1602" t="s">
        <v>134</v>
      </c>
      <c r="F1602" s="2">
        <v>180</v>
      </c>
    </row>
    <row r="1603" spans="1:6">
      <c r="A1603" s="1">
        <v>43631</v>
      </c>
      <c r="B1603" t="s">
        <v>1749</v>
      </c>
      <c r="C1603" t="s">
        <v>182</v>
      </c>
      <c r="D1603" t="s">
        <v>141</v>
      </c>
      <c r="E1603" t="s">
        <v>131</v>
      </c>
      <c r="F1603" s="2">
        <v>180</v>
      </c>
    </row>
    <row r="1604" spans="1:6">
      <c r="A1604" s="1">
        <v>43631</v>
      </c>
      <c r="B1604" t="s">
        <v>1750</v>
      </c>
      <c r="C1604" t="s">
        <v>189</v>
      </c>
      <c r="D1604" t="s">
        <v>139</v>
      </c>
      <c r="E1604" t="s">
        <v>153</v>
      </c>
      <c r="F1604" s="2">
        <v>80</v>
      </c>
    </row>
    <row r="1605" spans="1:6">
      <c r="A1605" s="1">
        <v>43631</v>
      </c>
      <c r="B1605" t="s">
        <v>1751</v>
      </c>
      <c r="C1605" t="s">
        <v>148</v>
      </c>
      <c r="D1605" t="s">
        <v>126</v>
      </c>
      <c r="E1605" t="s">
        <v>153</v>
      </c>
      <c r="F1605" s="2">
        <v>160</v>
      </c>
    </row>
    <row r="1606" spans="1:6">
      <c r="A1606" s="1">
        <v>43631</v>
      </c>
      <c r="B1606" t="s">
        <v>1752</v>
      </c>
      <c r="C1606" t="s">
        <v>157</v>
      </c>
      <c r="D1606" t="s">
        <v>139</v>
      </c>
      <c r="E1606" t="s">
        <v>131</v>
      </c>
      <c r="F1606" s="2">
        <v>80</v>
      </c>
    </row>
    <row r="1607" spans="1:6">
      <c r="A1607" s="1">
        <v>43631</v>
      </c>
      <c r="B1607" t="s">
        <v>1753</v>
      </c>
      <c r="C1607" t="s">
        <v>157</v>
      </c>
      <c r="D1607" t="s">
        <v>133</v>
      </c>
      <c r="E1607" t="s">
        <v>127</v>
      </c>
      <c r="F1607" s="2">
        <v>30</v>
      </c>
    </row>
    <row r="1608" spans="1:6">
      <c r="A1608" s="1">
        <v>43631</v>
      </c>
      <c r="B1608" t="s">
        <v>1754</v>
      </c>
      <c r="C1608" t="s">
        <v>189</v>
      </c>
      <c r="D1608" t="s">
        <v>120</v>
      </c>
      <c r="E1608" t="s">
        <v>121</v>
      </c>
      <c r="F1608" s="2">
        <v>90</v>
      </c>
    </row>
    <row r="1609" spans="1:6">
      <c r="A1609" s="1">
        <v>43631</v>
      </c>
      <c r="B1609" t="s">
        <v>1755</v>
      </c>
      <c r="C1609" t="s">
        <v>182</v>
      </c>
      <c r="D1609" t="s">
        <v>130</v>
      </c>
      <c r="E1609" t="s">
        <v>131</v>
      </c>
      <c r="F1609" s="2">
        <v>100</v>
      </c>
    </row>
    <row r="1610" spans="1:6">
      <c r="A1610" s="1">
        <v>43631</v>
      </c>
      <c r="B1610" t="s">
        <v>1756</v>
      </c>
      <c r="C1610" t="s">
        <v>129</v>
      </c>
      <c r="D1610" t="s">
        <v>133</v>
      </c>
      <c r="E1610" t="s">
        <v>131</v>
      </c>
      <c r="F1610" s="2">
        <v>30</v>
      </c>
    </row>
    <row r="1611" spans="1:6">
      <c r="A1611" s="1">
        <v>43632</v>
      </c>
      <c r="B1611" t="s">
        <v>1757</v>
      </c>
      <c r="C1611" t="s">
        <v>164</v>
      </c>
      <c r="D1611" t="s">
        <v>126</v>
      </c>
      <c r="E1611" t="s">
        <v>121</v>
      </c>
      <c r="F1611" s="2">
        <v>160</v>
      </c>
    </row>
    <row r="1612" spans="1:6">
      <c r="A1612" s="1">
        <v>43632</v>
      </c>
      <c r="B1612" t="s">
        <v>1758</v>
      </c>
      <c r="C1612" t="s">
        <v>138</v>
      </c>
      <c r="D1612" t="s">
        <v>126</v>
      </c>
      <c r="E1612" t="s">
        <v>131</v>
      </c>
      <c r="F1612" s="2">
        <v>160</v>
      </c>
    </row>
    <row r="1613" spans="1:6">
      <c r="A1613" s="1">
        <v>43632</v>
      </c>
      <c r="B1613" t="s">
        <v>1759</v>
      </c>
      <c r="C1613" t="s">
        <v>157</v>
      </c>
      <c r="D1613" t="s">
        <v>120</v>
      </c>
      <c r="E1613" t="s">
        <v>127</v>
      </c>
      <c r="F1613" s="2">
        <v>90</v>
      </c>
    </row>
    <row r="1614" spans="1:6">
      <c r="A1614" s="1">
        <v>43632</v>
      </c>
      <c r="B1614" t="s">
        <v>1760</v>
      </c>
      <c r="C1614" t="s">
        <v>129</v>
      </c>
      <c r="D1614" t="s">
        <v>146</v>
      </c>
      <c r="E1614" t="s">
        <v>121</v>
      </c>
      <c r="F1614" s="2">
        <v>50</v>
      </c>
    </row>
    <row r="1615" spans="1:6">
      <c r="A1615" s="1">
        <v>43632</v>
      </c>
      <c r="B1615" t="s">
        <v>1761</v>
      </c>
      <c r="C1615" t="s">
        <v>223</v>
      </c>
      <c r="D1615" t="s">
        <v>139</v>
      </c>
      <c r="E1615" t="s">
        <v>121</v>
      </c>
      <c r="F1615" s="2">
        <v>80</v>
      </c>
    </row>
    <row r="1616" spans="1:6">
      <c r="A1616" s="1">
        <v>43632</v>
      </c>
      <c r="B1616" t="s">
        <v>1762</v>
      </c>
      <c r="C1616" t="s">
        <v>157</v>
      </c>
      <c r="D1616" t="s">
        <v>133</v>
      </c>
      <c r="E1616" t="s">
        <v>131</v>
      </c>
      <c r="F1616" s="2">
        <v>30</v>
      </c>
    </row>
    <row r="1617" spans="1:6">
      <c r="A1617" s="1">
        <v>43632</v>
      </c>
      <c r="B1617" t="s">
        <v>1763</v>
      </c>
      <c r="C1617" t="s">
        <v>129</v>
      </c>
      <c r="D1617" t="s">
        <v>141</v>
      </c>
      <c r="E1617" t="s">
        <v>127</v>
      </c>
      <c r="F1617" s="2">
        <v>180</v>
      </c>
    </row>
    <row r="1618" spans="1:6">
      <c r="A1618" s="1">
        <v>43632</v>
      </c>
      <c r="B1618" t="s">
        <v>1764</v>
      </c>
      <c r="C1618" t="s">
        <v>187</v>
      </c>
      <c r="D1618" t="s">
        <v>120</v>
      </c>
      <c r="E1618" t="s">
        <v>153</v>
      </c>
      <c r="F1618" s="2">
        <v>90</v>
      </c>
    </row>
    <row r="1619" spans="1:6">
      <c r="A1619" s="1">
        <v>43632</v>
      </c>
      <c r="B1619" t="s">
        <v>1765</v>
      </c>
      <c r="C1619" t="s">
        <v>143</v>
      </c>
      <c r="D1619" t="s">
        <v>141</v>
      </c>
      <c r="E1619" t="s">
        <v>134</v>
      </c>
      <c r="F1619" s="2">
        <v>180</v>
      </c>
    </row>
    <row r="1620" spans="1:6">
      <c r="A1620" s="1">
        <v>43632</v>
      </c>
      <c r="B1620" t="s">
        <v>1766</v>
      </c>
      <c r="C1620" t="s">
        <v>129</v>
      </c>
      <c r="D1620" t="s">
        <v>139</v>
      </c>
      <c r="E1620" t="s">
        <v>121</v>
      </c>
      <c r="F1620" s="2">
        <v>80</v>
      </c>
    </row>
    <row r="1621" spans="1:6">
      <c r="A1621" s="1">
        <v>43632</v>
      </c>
      <c r="B1621" t="s">
        <v>1767</v>
      </c>
      <c r="C1621" t="s">
        <v>189</v>
      </c>
      <c r="D1621" t="s">
        <v>120</v>
      </c>
      <c r="E1621" t="s">
        <v>127</v>
      </c>
      <c r="F1621" s="2">
        <v>90</v>
      </c>
    </row>
    <row r="1622" spans="1:6">
      <c r="A1622" s="1">
        <v>43633</v>
      </c>
      <c r="B1622" t="s">
        <v>1768</v>
      </c>
      <c r="C1622" t="s">
        <v>157</v>
      </c>
      <c r="D1622" t="s">
        <v>141</v>
      </c>
      <c r="E1622" t="s">
        <v>131</v>
      </c>
      <c r="F1622" s="2">
        <v>180</v>
      </c>
    </row>
    <row r="1623" spans="1:6">
      <c r="A1623" s="1">
        <v>43633</v>
      </c>
      <c r="B1623" t="s">
        <v>1769</v>
      </c>
      <c r="C1623" t="s">
        <v>164</v>
      </c>
      <c r="D1623" t="s">
        <v>159</v>
      </c>
      <c r="E1623" t="s">
        <v>131</v>
      </c>
      <c r="F1623" s="2">
        <v>150</v>
      </c>
    </row>
    <row r="1624" spans="1:6">
      <c r="A1624" s="1">
        <v>43633</v>
      </c>
      <c r="B1624" t="s">
        <v>1770</v>
      </c>
      <c r="C1624" t="s">
        <v>119</v>
      </c>
      <c r="D1624" t="s">
        <v>139</v>
      </c>
      <c r="E1624" t="s">
        <v>127</v>
      </c>
      <c r="F1624" s="2">
        <v>80</v>
      </c>
    </row>
    <row r="1625" spans="1:6">
      <c r="A1625" s="1">
        <v>43633</v>
      </c>
      <c r="B1625" t="s">
        <v>1771</v>
      </c>
      <c r="C1625" t="s">
        <v>125</v>
      </c>
      <c r="D1625" t="s">
        <v>130</v>
      </c>
      <c r="E1625" t="s">
        <v>127</v>
      </c>
      <c r="F1625" s="2">
        <v>100</v>
      </c>
    </row>
    <row r="1626" spans="1:6">
      <c r="A1626" s="1">
        <v>43633</v>
      </c>
      <c r="B1626" t="s">
        <v>1772</v>
      </c>
      <c r="C1626" t="s">
        <v>143</v>
      </c>
      <c r="D1626" t="s">
        <v>159</v>
      </c>
      <c r="E1626" t="s">
        <v>134</v>
      </c>
      <c r="F1626" s="2">
        <v>150</v>
      </c>
    </row>
    <row r="1627" spans="1:6">
      <c r="A1627" s="1">
        <v>43633</v>
      </c>
      <c r="B1627" t="s">
        <v>1773</v>
      </c>
      <c r="C1627" t="s">
        <v>145</v>
      </c>
      <c r="D1627" t="s">
        <v>133</v>
      </c>
      <c r="E1627" t="s">
        <v>153</v>
      </c>
      <c r="F1627" s="2">
        <v>30</v>
      </c>
    </row>
    <row r="1628" spans="1:6">
      <c r="A1628" s="1">
        <v>43633</v>
      </c>
      <c r="B1628" t="s">
        <v>1774</v>
      </c>
      <c r="C1628" t="s">
        <v>119</v>
      </c>
      <c r="D1628" t="s">
        <v>120</v>
      </c>
      <c r="E1628" t="s">
        <v>121</v>
      </c>
      <c r="F1628" s="2">
        <v>90</v>
      </c>
    </row>
    <row r="1629" spans="1:6">
      <c r="A1629" s="1">
        <v>43633</v>
      </c>
      <c r="B1629" t="s">
        <v>1775</v>
      </c>
      <c r="C1629" t="s">
        <v>143</v>
      </c>
      <c r="D1629" t="s">
        <v>126</v>
      </c>
      <c r="E1629" t="s">
        <v>127</v>
      </c>
      <c r="F1629" s="2">
        <v>160</v>
      </c>
    </row>
    <row r="1630" spans="1:6">
      <c r="A1630" s="1">
        <v>43633</v>
      </c>
      <c r="B1630" t="s">
        <v>1776</v>
      </c>
      <c r="C1630" t="s">
        <v>145</v>
      </c>
      <c r="D1630" t="s">
        <v>120</v>
      </c>
      <c r="E1630" t="s">
        <v>153</v>
      </c>
      <c r="F1630" s="2">
        <v>90</v>
      </c>
    </row>
    <row r="1631" spans="1:6">
      <c r="A1631" s="1">
        <v>43633</v>
      </c>
      <c r="B1631" t="s">
        <v>1777</v>
      </c>
      <c r="C1631" t="s">
        <v>125</v>
      </c>
      <c r="D1631" t="s">
        <v>146</v>
      </c>
      <c r="E1631" t="s">
        <v>134</v>
      </c>
      <c r="F1631" s="2">
        <v>50</v>
      </c>
    </row>
    <row r="1632" spans="1:6">
      <c r="A1632" s="1">
        <v>43633</v>
      </c>
      <c r="B1632" t="s">
        <v>1778</v>
      </c>
      <c r="C1632" t="s">
        <v>143</v>
      </c>
      <c r="D1632" t="s">
        <v>133</v>
      </c>
      <c r="E1632" t="s">
        <v>134</v>
      </c>
      <c r="F1632" s="2">
        <v>30</v>
      </c>
    </row>
    <row r="1633" spans="1:6">
      <c r="A1633" s="1">
        <v>43634</v>
      </c>
      <c r="B1633" t="s">
        <v>1779</v>
      </c>
      <c r="C1633" t="s">
        <v>138</v>
      </c>
      <c r="D1633" t="s">
        <v>159</v>
      </c>
      <c r="E1633" t="s">
        <v>121</v>
      </c>
      <c r="F1633" s="2">
        <v>150</v>
      </c>
    </row>
    <row r="1634" spans="1:6">
      <c r="A1634" s="1">
        <v>43634</v>
      </c>
      <c r="B1634" t="s">
        <v>1780</v>
      </c>
      <c r="C1634" t="s">
        <v>187</v>
      </c>
      <c r="D1634" t="s">
        <v>141</v>
      </c>
      <c r="E1634" t="s">
        <v>134</v>
      </c>
      <c r="F1634" s="2">
        <v>180</v>
      </c>
    </row>
    <row r="1635" spans="1:6">
      <c r="A1635" s="1">
        <v>43634</v>
      </c>
      <c r="B1635" t="s">
        <v>1781</v>
      </c>
      <c r="C1635" t="s">
        <v>136</v>
      </c>
      <c r="D1635" t="s">
        <v>133</v>
      </c>
      <c r="E1635" t="s">
        <v>134</v>
      </c>
      <c r="F1635" s="2">
        <v>30</v>
      </c>
    </row>
    <row r="1636" spans="1:6">
      <c r="A1636" s="1">
        <v>43634</v>
      </c>
      <c r="B1636" t="s">
        <v>1782</v>
      </c>
      <c r="C1636" t="s">
        <v>223</v>
      </c>
      <c r="D1636" t="s">
        <v>130</v>
      </c>
      <c r="E1636" t="s">
        <v>134</v>
      </c>
      <c r="F1636" s="2">
        <v>100</v>
      </c>
    </row>
    <row r="1637" spans="1:6">
      <c r="A1637" s="1">
        <v>43634</v>
      </c>
      <c r="B1637" t="s">
        <v>1783</v>
      </c>
      <c r="C1637" t="s">
        <v>138</v>
      </c>
      <c r="D1637" t="s">
        <v>130</v>
      </c>
      <c r="E1637" t="s">
        <v>131</v>
      </c>
      <c r="F1637" s="2">
        <v>100</v>
      </c>
    </row>
    <row r="1638" spans="1:6">
      <c r="A1638" s="1">
        <v>43634</v>
      </c>
      <c r="B1638" t="s">
        <v>1784</v>
      </c>
      <c r="C1638" t="s">
        <v>223</v>
      </c>
      <c r="D1638" t="s">
        <v>146</v>
      </c>
      <c r="E1638" t="s">
        <v>127</v>
      </c>
      <c r="F1638" s="2">
        <v>50</v>
      </c>
    </row>
    <row r="1639" spans="1:6">
      <c r="A1639" s="1">
        <v>43635</v>
      </c>
      <c r="B1639" t="s">
        <v>1785</v>
      </c>
      <c r="C1639" t="s">
        <v>129</v>
      </c>
      <c r="D1639" t="s">
        <v>130</v>
      </c>
      <c r="E1639" t="s">
        <v>134</v>
      </c>
      <c r="F1639" s="2">
        <v>100</v>
      </c>
    </row>
    <row r="1640" spans="1:6">
      <c r="A1640" s="1">
        <v>43635</v>
      </c>
      <c r="B1640" t="s">
        <v>1786</v>
      </c>
      <c r="C1640" t="s">
        <v>148</v>
      </c>
      <c r="D1640" t="s">
        <v>141</v>
      </c>
      <c r="E1640" t="s">
        <v>127</v>
      </c>
      <c r="F1640" s="2">
        <v>180</v>
      </c>
    </row>
    <row r="1641" spans="1:6">
      <c r="A1641" s="1">
        <v>43635</v>
      </c>
      <c r="B1641" t="s">
        <v>1787</v>
      </c>
      <c r="C1641" t="s">
        <v>136</v>
      </c>
      <c r="D1641" t="s">
        <v>133</v>
      </c>
      <c r="E1641" t="s">
        <v>127</v>
      </c>
      <c r="F1641" s="2">
        <v>30</v>
      </c>
    </row>
    <row r="1642" spans="1:6">
      <c r="A1642" s="1">
        <v>43635</v>
      </c>
      <c r="B1642" t="s">
        <v>1788</v>
      </c>
      <c r="C1642" t="s">
        <v>119</v>
      </c>
      <c r="D1642" t="s">
        <v>146</v>
      </c>
      <c r="E1642" t="s">
        <v>131</v>
      </c>
      <c r="F1642" s="2">
        <v>50</v>
      </c>
    </row>
    <row r="1643" spans="1:6">
      <c r="A1643" s="1">
        <v>43635</v>
      </c>
      <c r="B1643" t="s">
        <v>1789</v>
      </c>
      <c r="C1643" t="s">
        <v>182</v>
      </c>
      <c r="D1643" t="s">
        <v>133</v>
      </c>
      <c r="E1643" t="s">
        <v>131</v>
      </c>
      <c r="F1643" s="2">
        <v>30</v>
      </c>
    </row>
    <row r="1644" spans="1:6">
      <c r="A1644" s="1">
        <v>43635</v>
      </c>
      <c r="B1644" t="s">
        <v>1790</v>
      </c>
      <c r="C1644" t="s">
        <v>223</v>
      </c>
      <c r="D1644" t="s">
        <v>139</v>
      </c>
      <c r="E1644" t="s">
        <v>127</v>
      </c>
      <c r="F1644" s="2">
        <v>80</v>
      </c>
    </row>
    <row r="1645" spans="1:6">
      <c r="A1645" s="1">
        <v>43635</v>
      </c>
      <c r="B1645" t="s">
        <v>1791</v>
      </c>
      <c r="C1645" t="s">
        <v>125</v>
      </c>
      <c r="D1645" t="s">
        <v>159</v>
      </c>
      <c r="E1645" t="s">
        <v>153</v>
      </c>
      <c r="F1645" s="2">
        <v>150</v>
      </c>
    </row>
    <row r="1646" spans="1:6">
      <c r="A1646" s="1">
        <v>43635</v>
      </c>
      <c r="B1646" t="s">
        <v>1792</v>
      </c>
      <c r="C1646" t="s">
        <v>138</v>
      </c>
      <c r="D1646" t="s">
        <v>159</v>
      </c>
      <c r="E1646" t="s">
        <v>121</v>
      </c>
      <c r="F1646" s="2">
        <v>150</v>
      </c>
    </row>
    <row r="1647" spans="1:6">
      <c r="A1647" s="1">
        <v>43635</v>
      </c>
      <c r="B1647" t="s">
        <v>1793</v>
      </c>
      <c r="C1647" t="s">
        <v>187</v>
      </c>
      <c r="D1647" t="s">
        <v>159</v>
      </c>
      <c r="E1647" t="s">
        <v>153</v>
      </c>
      <c r="F1647" s="2">
        <v>150</v>
      </c>
    </row>
    <row r="1648" spans="1:6">
      <c r="A1648" s="1">
        <v>43635</v>
      </c>
      <c r="B1648" t="s">
        <v>1794</v>
      </c>
      <c r="C1648" t="s">
        <v>189</v>
      </c>
      <c r="D1648" t="s">
        <v>120</v>
      </c>
      <c r="E1648" t="s">
        <v>121</v>
      </c>
      <c r="F1648" s="2">
        <v>90</v>
      </c>
    </row>
    <row r="1649" spans="1:6">
      <c r="A1649" s="1">
        <v>43635</v>
      </c>
      <c r="B1649" t="s">
        <v>1795</v>
      </c>
      <c r="C1649" t="s">
        <v>187</v>
      </c>
      <c r="D1649" t="s">
        <v>139</v>
      </c>
      <c r="E1649" t="s">
        <v>131</v>
      </c>
      <c r="F1649" s="2">
        <v>80</v>
      </c>
    </row>
    <row r="1650" spans="1:6">
      <c r="A1650" s="1">
        <v>43636</v>
      </c>
      <c r="B1650" t="s">
        <v>1796</v>
      </c>
      <c r="C1650" t="s">
        <v>164</v>
      </c>
      <c r="D1650" t="s">
        <v>130</v>
      </c>
      <c r="E1650" t="s">
        <v>153</v>
      </c>
      <c r="F1650" s="2">
        <v>100</v>
      </c>
    </row>
    <row r="1651" spans="1:6">
      <c r="A1651" s="1">
        <v>43636</v>
      </c>
      <c r="B1651" t="s">
        <v>1797</v>
      </c>
      <c r="C1651" t="s">
        <v>152</v>
      </c>
      <c r="D1651" t="s">
        <v>146</v>
      </c>
      <c r="E1651" t="s">
        <v>121</v>
      </c>
      <c r="F1651" s="2">
        <v>50</v>
      </c>
    </row>
    <row r="1652" spans="1:6">
      <c r="A1652" s="1">
        <v>43636</v>
      </c>
      <c r="B1652" t="s">
        <v>1798</v>
      </c>
      <c r="C1652" t="s">
        <v>136</v>
      </c>
      <c r="D1652" t="s">
        <v>126</v>
      </c>
      <c r="E1652" t="s">
        <v>127</v>
      </c>
      <c r="F1652" s="2">
        <v>160</v>
      </c>
    </row>
    <row r="1653" spans="1:6">
      <c r="A1653" s="1">
        <v>43636</v>
      </c>
      <c r="B1653" t="s">
        <v>1799</v>
      </c>
      <c r="C1653" t="s">
        <v>129</v>
      </c>
      <c r="D1653" t="s">
        <v>146</v>
      </c>
      <c r="E1653" t="s">
        <v>121</v>
      </c>
      <c r="F1653" s="2">
        <v>50</v>
      </c>
    </row>
    <row r="1654" spans="1:6">
      <c r="A1654" s="1">
        <v>43636</v>
      </c>
      <c r="B1654" t="s">
        <v>1800</v>
      </c>
      <c r="C1654" t="s">
        <v>129</v>
      </c>
      <c r="D1654" t="s">
        <v>146</v>
      </c>
      <c r="E1654" t="s">
        <v>153</v>
      </c>
      <c r="F1654" s="2">
        <v>50</v>
      </c>
    </row>
    <row r="1655" spans="1:6">
      <c r="A1655" s="1">
        <v>43636</v>
      </c>
      <c r="B1655" t="s">
        <v>1801</v>
      </c>
      <c r="C1655" t="s">
        <v>189</v>
      </c>
      <c r="D1655" t="s">
        <v>159</v>
      </c>
      <c r="E1655" t="s">
        <v>127</v>
      </c>
      <c r="F1655" s="2">
        <v>150</v>
      </c>
    </row>
    <row r="1656" spans="1:6">
      <c r="A1656" s="1">
        <v>43636</v>
      </c>
      <c r="B1656" t="s">
        <v>1802</v>
      </c>
      <c r="C1656" t="s">
        <v>223</v>
      </c>
      <c r="D1656" t="s">
        <v>133</v>
      </c>
      <c r="E1656" t="s">
        <v>153</v>
      </c>
      <c r="F1656" s="2">
        <v>30</v>
      </c>
    </row>
    <row r="1657" spans="1:6">
      <c r="A1657" s="1">
        <v>43636</v>
      </c>
      <c r="B1657" t="s">
        <v>1803</v>
      </c>
      <c r="C1657" t="s">
        <v>136</v>
      </c>
      <c r="D1657" t="s">
        <v>133</v>
      </c>
      <c r="E1657" t="s">
        <v>131</v>
      </c>
      <c r="F1657" s="2">
        <v>30</v>
      </c>
    </row>
    <row r="1658" spans="1:6">
      <c r="A1658" s="1">
        <v>43636</v>
      </c>
      <c r="B1658" t="s">
        <v>1804</v>
      </c>
      <c r="C1658" t="s">
        <v>152</v>
      </c>
      <c r="D1658" t="s">
        <v>141</v>
      </c>
      <c r="E1658" t="s">
        <v>134</v>
      </c>
      <c r="F1658" s="2">
        <v>180</v>
      </c>
    </row>
    <row r="1659" spans="1:6">
      <c r="A1659" s="1">
        <v>43636</v>
      </c>
      <c r="B1659" t="s">
        <v>1805</v>
      </c>
      <c r="C1659" t="s">
        <v>189</v>
      </c>
      <c r="D1659" t="s">
        <v>141</v>
      </c>
      <c r="E1659" t="s">
        <v>121</v>
      </c>
      <c r="F1659" s="2">
        <v>180</v>
      </c>
    </row>
    <row r="1660" spans="1:6">
      <c r="A1660" s="1">
        <v>43637</v>
      </c>
      <c r="B1660" t="s">
        <v>1806</v>
      </c>
      <c r="C1660" t="s">
        <v>223</v>
      </c>
      <c r="D1660" t="s">
        <v>139</v>
      </c>
      <c r="E1660" t="s">
        <v>131</v>
      </c>
      <c r="F1660" s="2">
        <v>80</v>
      </c>
    </row>
    <row r="1661" spans="1:6">
      <c r="A1661" s="1">
        <v>43637</v>
      </c>
      <c r="B1661" t="s">
        <v>1807</v>
      </c>
      <c r="C1661" t="s">
        <v>129</v>
      </c>
      <c r="D1661" t="s">
        <v>141</v>
      </c>
      <c r="E1661" t="s">
        <v>134</v>
      </c>
      <c r="F1661" s="2">
        <v>180</v>
      </c>
    </row>
    <row r="1662" spans="1:6">
      <c r="A1662" s="1">
        <v>43637</v>
      </c>
      <c r="B1662" t="s">
        <v>1808</v>
      </c>
      <c r="C1662" t="s">
        <v>136</v>
      </c>
      <c r="D1662" t="s">
        <v>141</v>
      </c>
      <c r="E1662" t="s">
        <v>131</v>
      </c>
      <c r="F1662" s="2">
        <v>180</v>
      </c>
    </row>
    <row r="1663" spans="1:6">
      <c r="A1663" s="1">
        <v>43637</v>
      </c>
      <c r="B1663" t="s">
        <v>1809</v>
      </c>
      <c r="C1663" t="s">
        <v>125</v>
      </c>
      <c r="D1663" t="s">
        <v>133</v>
      </c>
      <c r="E1663" t="s">
        <v>131</v>
      </c>
      <c r="F1663" s="2">
        <v>30</v>
      </c>
    </row>
    <row r="1664" spans="1:6">
      <c r="A1664" s="1">
        <v>43637</v>
      </c>
      <c r="B1664" t="s">
        <v>1810</v>
      </c>
      <c r="C1664" t="s">
        <v>187</v>
      </c>
      <c r="D1664" t="s">
        <v>146</v>
      </c>
      <c r="E1664" t="s">
        <v>134</v>
      </c>
      <c r="F1664" s="2">
        <v>50</v>
      </c>
    </row>
    <row r="1665" spans="1:6">
      <c r="A1665" s="1">
        <v>43637</v>
      </c>
      <c r="B1665" t="s">
        <v>1811</v>
      </c>
      <c r="C1665" t="s">
        <v>167</v>
      </c>
      <c r="D1665" t="s">
        <v>139</v>
      </c>
      <c r="E1665" t="s">
        <v>121</v>
      </c>
      <c r="F1665" s="2">
        <v>80</v>
      </c>
    </row>
    <row r="1666" spans="1:6">
      <c r="A1666" s="1">
        <v>43637</v>
      </c>
      <c r="B1666" t="s">
        <v>1812</v>
      </c>
      <c r="C1666" t="s">
        <v>187</v>
      </c>
      <c r="D1666" t="s">
        <v>130</v>
      </c>
      <c r="E1666" t="s">
        <v>131</v>
      </c>
      <c r="F1666" s="2">
        <v>100</v>
      </c>
    </row>
    <row r="1667" spans="1:6">
      <c r="A1667" s="1">
        <v>43637</v>
      </c>
      <c r="B1667" t="s">
        <v>1813</v>
      </c>
      <c r="C1667" t="s">
        <v>136</v>
      </c>
      <c r="D1667" t="s">
        <v>146</v>
      </c>
      <c r="E1667" t="s">
        <v>121</v>
      </c>
      <c r="F1667" s="2">
        <v>50</v>
      </c>
    </row>
    <row r="1668" spans="1:6">
      <c r="A1668" s="1">
        <v>43638</v>
      </c>
      <c r="B1668" t="s">
        <v>1814</v>
      </c>
      <c r="C1668" t="s">
        <v>143</v>
      </c>
      <c r="D1668" t="s">
        <v>139</v>
      </c>
      <c r="E1668" t="s">
        <v>134</v>
      </c>
      <c r="F1668" s="2">
        <v>80</v>
      </c>
    </row>
    <row r="1669" spans="1:6">
      <c r="A1669" s="1">
        <v>43638</v>
      </c>
      <c r="B1669" t="s">
        <v>1815</v>
      </c>
      <c r="C1669" t="s">
        <v>182</v>
      </c>
      <c r="D1669" t="s">
        <v>120</v>
      </c>
      <c r="E1669" t="s">
        <v>131</v>
      </c>
      <c r="F1669" s="2">
        <v>90</v>
      </c>
    </row>
    <row r="1670" spans="1:6">
      <c r="A1670" s="1">
        <v>43638</v>
      </c>
      <c r="B1670" t="s">
        <v>1816</v>
      </c>
      <c r="C1670" t="s">
        <v>145</v>
      </c>
      <c r="D1670" t="s">
        <v>133</v>
      </c>
      <c r="E1670" t="s">
        <v>121</v>
      </c>
      <c r="F1670" s="2">
        <v>30</v>
      </c>
    </row>
    <row r="1671" spans="1:6">
      <c r="A1671" s="1">
        <v>43638</v>
      </c>
      <c r="B1671" t="s">
        <v>1817</v>
      </c>
      <c r="C1671" t="s">
        <v>223</v>
      </c>
      <c r="D1671" t="s">
        <v>120</v>
      </c>
      <c r="E1671" t="s">
        <v>134</v>
      </c>
      <c r="F1671" s="2">
        <v>90</v>
      </c>
    </row>
    <row r="1672" spans="1:6">
      <c r="A1672" s="1">
        <v>43638</v>
      </c>
      <c r="B1672" t="s">
        <v>1818</v>
      </c>
      <c r="C1672" t="s">
        <v>136</v>
      </c>
      <c r="D1672" t="s">
        <v>139</v>
      </c>
      <c r="E1672" t="s">
        <v>131</v>
      </c>
      <c r="F1672" s="2">
        <v>80</v>
      </c>
    </row>
    <row r="1673" spans="1:6">
      <c r="A1673" s="1">
        <v>43638</v>
      </c>
      <c r="B1673" t="s">
        <v>1819</v>
      </c>
      <c r="C1673" t="s">
        <v>182</v>
      </c>
      <c r="D1673" t="s">
        <v>139</v>
      </c>
      <c r="E1673" t="s">
        <v>127</v>
      </c>
      <c r="F1673" s="2">
        <v>80</v>
      </c>
    </row>
    <row r="1674" spans="1:6">
      <c r="A1674" s="1">
        <v>43638</v>
      </c>
      <c r="B1674" t="s">
        <v>1820</v>
      </c>
      <c r="C1674" t="s">
        <v>138</v>
      </c>
      <c r="D1674" t="s">
        <v>146</v>
      </c>
      <c r="E1674" t="s">
        <v>153</v>
      </c>
      <c r="F1674" s="2">
        <v>50</v>
      </c>
    </row>
    <row r="1675" spans="1:6">
      <c r="A1675" s="1">
        <v>43638</v>
      </c>
      <c r="B1675" t="s">
        <v>1821</v>
      </c>
      <c r="C1675" t="s">
        <v>182</v>
      </c>
      <c r="D1675" t="s">
        <v>146</v>
      </c>
      <c r="E1675" t="s">
        <v>121</v>
      </c>
      <c r="F1675" s="2">
        <v>50</v>
      </c>
    </row>
    <row r="1676" spans="1:6">
      <c r="A1676" s="1">
        <v>43638</v>
      </c>
      <c r="B1676" t="s">
        <v>1822</v>
      </c>
      <c r="C1676" t="s">
        <v>136</v>
      </c>
      <c r="D1676" t="s">
        <v>139</v>
      </c>
      <c r="E1676" t="s">
        <v>127</v>
      </c>
      <c r="F1676" s="2">
        <v>80</v>
      </c>
    </row>
    <row r="1677" spans="1:6">
      <c r="A1677" s="1">
        <v>43638</v>
      </c>
      <c r="B1677" t="s">
        <v>1823</v>
      </c>
      <c r="C1677" t="s">
        <v>167</v>
      </c>
      <c r="D1677" t="s">
        <v>126</v>
      </c>
      <c r="E1677" t="s">
        <v>121</v>
      </c>
      <c r="F1677" s="2">
        <v>160</v>
      </c>
    </row>
    <row r="1678" spans="1:6">
      <c r="A1678" s="1">
        <v>43639</v>
      </c>
      <c r="B1678" t="s">
        <v>1824</v>
      </c>
      <c r="C1678" t="s">
        <v>119</v>
      </c>
      <c r="D1678" t="s">
        <v>130</v>
      </c>
      <c r="E1678" t="s">
        <v>121</v>
      </c>
      <c r="F1678" s="2">
        <v>100</v>
      </c>
    </row>
    <row r="1679" spans="1:6">
      <c r="A1679" s="1">
        <v>43639</v>
      </c>
      <c r="B1679" t="s">
        <v>1825</v>
      </c>
      <c r="C1679" t="s">
        <v>223</v>
      </c>
      <c r="D1679" t="s">
        <v>146</v>
      </c>
      <c r="E1679" t="s">
        <v>131</v>
      </c>
      <c r="F1679" s="2">
        <v>50</v>
      </c>
    </row>
    <row r="1680" spans="1:6">
      <c r="A1680" s="1">
        <v>43639</v>
      </c>
      <c r="B1680" t="s">
        <v>1826</v>
      </c>
      <c r="C1680" t="s">
        <v>152</v>
      </c>
      <c r="D1680" t="s">
        <v>141</v>
      </c>
      <c r="E1680" t="s">
        <v>134</v>
      </c>
      <c r="F1680" s="2">
        <v>180</v>
      </c>
    </row>
    <row r="1681" spans="1:6">
      <c r="A1681" s="1">
        <v>43639</v>
      </c>
      <c r="B1681" t="s">
        <v>1827</v>
      </c>
      <c r="C1681" t="s">
        <v>125</v>
      </c>
      <c r="D1681" t="s">
        <v>120</v>
      </c>
      <c r="E1681" t="s">
        <v>131</v>
      </c>
      <c r="F1681" s="2">
        <v>90</v>
      </c>
    </row>
    <row r="1682" spans="1:6">
      <c r="A1682" s="1">
        <v>43639</v>
      </c>
      <c r="B1682" t="s">
        <v>1828</v>
      </c>
      <c r="C1682" t="s">
        <v>136</v>
      </c>
      <c r="D1682" t="s">
        <v>146</v>
      </c>
      <c r="E1682" t="s">
        <v>127</v>
      </c>
      <c r="F1682" s="2">
        <v>50</v>
      </c>
    </row>
    <row r="1683" spans="1:6">
      <c r="A1683" s="1">
        <v>43640</v>
      </c>
      <c r="B1683" t="s">
        <v>1829</v>
      </c>
      <c r="C1683" t="s">
        <v>182</v>
      </c>
      <c r="D1683" t="s">
        <v>141</v>
      </c>
      <c r="E1683" t="s">
        <v>153</v>
      </c>
      <c r="F1683" s="2">
        <v>180</v>
      </c>
    </row>
    <row r="1684" spans="1:6">
      <c r="A1684" s="1">
        <v>43640</v>
      </c>
      <c r="B1684" t="s">
        <v>1830</v>
      </c>
      <c r="C1684" t="s">
        <v>223</v>
      </c>
      <c r="D1684" t="s">
        <v>133</v>
      </c>
      <c r="E1684" t="s">
        <v>153</v>
      </c>
      <c r="F1684" s="2">
        <v>30</v>
      </c>
    </row>
    <row r="1685" spans="1:6">
      <c r="A1685" s="1">
        <v>43640</v>
      </c>
      <c r="B1685" t="s">
        <v>1831</v>
      </c>
      <c r="C1685" t="s">
        <v>152</v>
      </c>
      <c r="D1685" t="s">
        <v>130</v>
      </c>
      <c r="E1685" t="s">
        <v>134</v>
      </c>
      <c r="F1685" s="2">
        <v>100</v>
      </c>
    </row>
    <row r="1686" spans="1:6">
      <c r="A1686" s="1">
        <v>43641</v>
      </c>
      <c r="B1686" t="s">
        <v>1832</v>
      </c>
      <c r="C1686" t="s">
        <v>125</v>
      </c>
      <c r="D1686" t="s">
        <v>120</v>
      </c>
      <c r="E1686" t="s">
        <v>121</v>
      </c>
      <c r="F1686" s="2">
        <v>90</v>
      </c>
    </row>
    <row r="1687" spans="1:6">
      <c r="A1687" s="1">
        <v>43641</v>
      </c>
      <c r="B1687" t="s">
        <v>1833</v>
      </c>
      <c r="C1687" t="s">
        <v>136</v>
      </c>
      <c r="D1687" t="s">
        <v>146</v>
      </c>
      <c r="E1687" t="s">
        <v>134</v>
      </c>
      <c r="F1687" s="2">
        <v>50</v>
      </c>
    </row>
    <row r="1688" spans="1:6">
      <c r="A1688" s="1">
        <v>43641</v>
      </c>
      <c r="B1688" t="s">
        <v>1834</v>
      </c>
      <c r="C1688" t="s">
        <v>143</v>
      </c>
      <c r="D1688" t="s">
        <v>159</v>
      </c>
      <c r="E1688" t="s">
        <v>153</v>
      </c>
      <c r="F1688" s="2">
        <v>150</v>
      </c>
    </row>
    <row r="1689" spans="1:6">
      <c r="A1689" s="1">
        <v>43641</v>
      </c>
      <c r="B1689" t="s">
        <v>1835</v>
      </c>
      <c r="C1689" t="s">
        <v>125</v>
      </c>
      <c r="D1689" t="s">
        <v>141</v>
      </c>
      <c r="E1689" t="s">
        <v>121</v>
      </c>
      <c r="F1689" s="2">
        <v>180</v>
      </c>
    </row>
    <row r="1690" spans="1:6">
      <c r="A1690" s="1">
        <v>43641</v>
      </c>
      <c r="B1690" t="s">
        <v>1836</v>
      </c>
      <c r="C1690" t="s">
        <v>143</v>
      </c>
      <c r="D1690" t="s">
        <v>130</v>
      </c>
      <c r="E1690" t="s">
        <v>127</v>
      </c>
      <c r="F1690" s="2">
        <v>100</v>
      </c>
    </row>
    <row r="1691" spans="1:6">
      <c r="A1691" s="1">
        <v>43641</v>
      </c>
      <c r="B1691" t="s">
        <v>1837</v>
      </c>
      <c r="C1691" t="s">
        <v>138</v>
      </c>
      <c r="D1691" t="s">
        <v>130</v>
      </c>
      <c r="E1691" t="s">
        <v>134</v>
      </c>
      <c r="F1691" s="2">
        <v>100</v>
      </c>
    </row>
    <row r="1692" spans="1:6">
      <c r="A1692" s="1">
        <v>43641</v>
      </c>
      <c r="B1692" t="s">
        <v>1838</v>
      </c>
      <c r="C1692" t="s">
        <v>157</v>
      </c>
      <c r="D1692" t="s">
        <v>139</v>
      </c>
      <c r="E1692" t="s">
        <v>134</v>
      </c>
      <c r="F1692" s="2">
        <v>80</v>
      </c>
    </row>
    <row r="1693" spans="1:6">
      <c r="A1693" s="1">
        <v>43642</v>
      </c>
      <c r="B1693" t="s">
        <v>1839</v>
      </c>
      <c r="C1693" t="s">
        <v>145</v>
      </c>
      <c r="D1693" t="s">
        <v>139</v>
      </c>
      <c r="E1693" t="s">
        <v>121</v>
      </c>
      <c r="F1693" s="2">
        <v>80</v>
      </c>
    </row>
    <row r="1694" spans="1:6">
      <c r="A1694" s="1">
        <v>43642</v>
      </c>
      <c r="B1694" t="s">
        <v>1840</v>
      </c>
      <c r="C1694" t="s">
        <v>148</v>
      </c>
      <c r="D1694" t="s">
        <v>159</v>
      </c>
      <c r="E1694" t="s">
        <v>131</v>
      </c>
      <c r="F1694" s="2">
        <v>150</v>
      </c>
    </row>
    <row r="1695" spans="1:6">
      <c r="A1695" s="1">
        <v>43642</v>
      </c>
      <c r="B1695" t="s">
        <v>1841</v>
      </c>
      <c r="C1695" t="s">
        <v>223</v>
      </c>
      <c r="D1695" t="s">
        <v>159</v>
      </c>
      <c r="E1695" t="s">
        <v>127</v>
      </c>
      <c r="F1695" s="2">
        <v>150</v>
      </c>
    </row>
    <row r="1696" spans="1:6">
      <c r="A1696" s="1">
        <v>43642</v>
      </c>
      <c r="B1696" t="s">
        <v>1842</v>
      </c>
      <c r="C1696" t="s">
        <v>129</v>
      </c>
      <c r="D1696" t="s">
        <v>141</v>
      </c>
      <c r="E1696" t="s">
        <v>127</v>
      </c>
      <c r="F1696" s="2">
        <v>180</v>
      </c>
    </row>
    <row r="1697" spans="1:6">
      <c r="A1697" s="1">
        <v>43642</v>
      </c>
      <c r="B1697" t="s">
        <v>1843</v>
      </c>
      <c r="C1697" t="s">
        <v>125</v>
      </c>
      <c r="D1697" t="s">
        <v>139</v>
      </c>
      <c r="E1697" t="s">
        <v>153</v>
      </c>
      <c r="F1697" s="2">
        <v>80</v>
      </c>
    </row>
    <row r="1698" spans="1:6">
      <c r="A1698" s="1">
        <v>43642</v>
      </c>
      <c r="B1698" t="s">
        <v>1844</v>
      </c>
      <c r="C1698" t="s">
        <v>223</v>
      </c>
      <c r="D1698" t="s">
        <v>126</v>
      </c>
      <c r="E1698" t="s">
        <v>121</v>
      </c>
      <c r="F1698" s="2">
        <v>160</v>
      </c>
    </row>
    <row r="1699" spans="1:6">
      <c r="A1699" s="1">
        <v>43642</v>
      </c>
      <c r="B1699" t="s">
        <v>1845</v>
      </c>
      <c r="C1699" t="s">
        <v>157</v>
      </c>
      <c r="D1699" t="s">
        <v>141</v>
      </c>
      <c r="E1699" t="s">
        <v>127</v>
      </c>
      <c r="F1699" s="2">
        <v>180</v>
      </c>
    </row>
    <row r="1700" spans="1:6">
      <c r="A1700" s="1">
        <v>43642</v>
      </c>
      <c r="B1700" t="s">
        <v>1846</v>
      </c>
      <c r="C1700" t="s">
        <v>182</v>
      </c>
      <c r="D1700" t="s">
        <v>159</v>
      </c>
      <c r="E1700" t="s">
        <v>153</v>
      </c>
      <c r="F1700" s="2">
        <v>150</v>
      </c>
    </row>
    <row r="1701" spans="1:6">
      <c r="A1701" s="1">
        <v>43642</v>
      </c>
      <c r="B1701" t="s">
        <v>1847</v>
      </c>
      <c r="C1701" t="s">
        <v>167</v>
      </c>
      <c r="D1701" t="s">
        <v>130</v>
      </c>
      <c r="E1701" t="s">
        <v>121</v>
      </c>
      <c r="F1701" s="2">
        <v>100</v>
      </c>
    </row>
    <row r="1702" spans="1:6">
      <c r="A1702" s="1">
        <v>43642</v>
      </c>
      <c r="B1702" t="s">
        <v>1848</v>
      </c>
      <c r="C1702" t="s">
        <v>123</v>
      </c>
      <c r="D1702" t="s">
        <v>141</v>
      </c>
      <c r="E1702" t="s">
        <v>134</v>
      </c>
      <c r="F1702" s="2">
        <v>180</v>
      </c>
    </row>
    <row r="1703" spans="1:6">
      <c r="A1703" s="1">
        <v>43642</v>
      </c>
      <c r="B1703" t="s">
        <v>1849</v>
      </c>
      <c r="C1703" t="s">
        <v>148</v>
      </c>
      <c r="D1703" t="s">
        <v>133</v>
      </c>
      <c r="E1703" t="s">
        <v>127</v>
      </c>
      <c r="F1703" s="2">
        <v>30</v>
      </c>
    </row>
    <row r="1704" spans="1:6">
      <c r="A1704" s="1">
        <v>43642</v>
      </c>
      <c r="B1704" t="s">
        <v>1850</v>
      </c>
      <c r="C1704" t="s">
        <v>136</v>
      </c>
      <c r="D1704" t="s">
        <v>133</v>
      </c>
      <c r="E1704" t="s">
        <v>131</v>
      </c>
      <c r="F1704" s="2">
        <v>30</v>
      </c>
    </row>
    <row r="1705" spans="1:6">
      <c r="A1705" s="1">
        <v>43642</v>
      </c>
      <c r="B1705" t="s">
        <v>1851</v>
      </c>
      <c r="C1705" t="s">
        <v>157</v>
      </c>
      <c r="D1705" t="s">
        <v>139</v>
      </c>
      <c r="E1705" t="s">
        <v>131</v>
      </c>
      <c r="F1705" s="2">
        <v>80</v>
      </c>
    </row>
    <row r="1706" spans="1:6">
      <c r="A1706" s="1">
        <v>43643</v>
      </c>
      <c r="B1706" t="s">
        <v>1852</v>
      </c>
      <c r="C1706" t="s">
        <v>123</v>
      </c>
      <c r="D1706" t="s">
        <v>120</v>
      </c>
      <c r="E1706" t="s">
        <v>131</v>
      </c>
      <c r="F1706" s="2">
        <v>90</v>
      </c>
    </row>
    <row r="1707" spans="1:6">
      <c r="A1707" s="1">
        <v>43643</v>
      </c>
      <c r="B1707" t="s">
        <v>1853</v>
      </c>
      <c r="C1707" t="s">
        <v>167</v>
      </c>
      <c r="D1707" t="s">
        <v>159</v>
      </c>
      <c r="E1707" t="s">
        <v>153</v>
      </c>
      <c r="F1707" s="2">
        <v>150</v>
      </c>
    </row>
    <row r="1708" spans="1:6">
      <c r="A1708" s="1">
        <v>43643</v>
      </c>
      <c r="B1708" t="s">
        <v>1854</v>
      </c>
      <c r="C1708" t="s">
        <v>136</v>
      </c>
      <c r="D1708" t="s">
        <v>130</v>
      </c>
      <c r="E1708" t="s">
        <v>127</v>
      </c>
      <c r="F1708" s="2">
        <v>100</v>
      </c>
    </row>
    <row r="1709" spans="1:6">
      <c r="A1709" s="1">
        <v>43644</v>
      </c>
      <c r="B1709" t="s">
        <v>1855</v>
      </c>
      <c r="C1709" t="s">
        <v>138</v>
      </c>
      <c r="D1709" t="s">
        <v>146</v>
      </c>
      <c r="E1709" t="s">
        <v>134</v>
      </c>
      <c r="F1709" s="2">
        <v>50</v>
      </c>
    </row>
    <row r="1710" spans="1:6">
      <c r="A1710" s="1">
        <v>43644</v>
      </c>
      <c r="B1710" t="s">
        <v>1856</v>
      </c>
      <c r="C1710" t="s">
        <v>164</v>
      </c>
      <c r="D1710" t="s">
        <v>159</v>
      </c>
      <c r="E1710" t="s">
        <v>121</v>
      </c>
      <c r="F1710" s="2">
        <v>150</v>
      </c>
    </row>
    <row r="1711" spans="1:6">
      <c r="A1711" s="1">
        <v>43644</v>
      </c>
      <c r="B1711" t="s">
        <v>1857</v>
      </c>
      <c r="C1711" t="s">
        <v>143</v>
      </c>
      <c r="D1711" t="s">
        <v>120</v>
      </c>
      <c r="E1711" t="s">
        <v>134</v>
      </c>
      <c r="F1711" s="2">
        <v>90</v>
      </c>
    </row>
    <row r="1712" spans="1:6">
      <c r="A1712" s="1">
        <v>43644</v>
      </c>
      <c r="B1712" t="s">
        <v>1858</v>
      </c>
      <c r="C1712" t="s">
        <v>145</v>
      </c>
      <c r="D1712" t="s">
        <v>141</v>
      </c>
      <c r="E1712" t="s">
        <v>131</v>
      </c>
      <c r="F1712" s="2">
        <v>180</v>
      </c>
    </row>
    <row r="1713" spans="1:6">
      <c r="A1713" s="1">
        <v>43644</v>
      </c>
      <c r="B1713" t="s">
        <v>1859</v>
      </c>
      <c r="C1713" t="s">
        <v>148</v>
      </c>
      <c r="D1713" t="s">
        <v>139</v>
      </c>
      <c r="E1713" t="s">
        <v>121</v>
      </c>
      <c r="F1713" s="2">
        <v>80</v>
      </c>
    </row>
    <row r="1714" spans="1:6">
      <c r="A1714" s="1">
        <v>43644</v>
      </c>
      <c r="B1714" t="s">
        <v>1860</v>
      </c>
      <c r="C1714" t="s">
        <v>223</v>
      </c>
      <c r="D1714" t="s">
        <v>126</v>
      </c>
      <c r="E1714" t="s">
        <v>134</v>
      </c>
      <c r="F1714" s="2">
        <v>160</v>
      </c>
    </row>
    <row r="1715" spans="1:6">
      <c r="A1715" s="1">
        <v>43644</v>
      </c>
      <c r="B1715" t="s">
        <v>1861</v>
      </c>
      <c r="C1715" t="s">
        <v>143</v>
      </c>
      <c r="D1715" t="s">
        <v>159</v>
      </c>
      <c r="E1715" t="s">
        <v>153</v>
      </c>
      <c r="F1715" s="2">
        <v>150</v>
      </c>
    </row>
    <row r="1716" spans="1:6">
      <c r="A1716" s="1">
        <v>43644</v>
      </c>
      <c r="B1716" t="s">
        <v>1862</v>
      </c>
      <c r="C1716" t="s">
        <v>157</v>
      </c>
      <c r="D1716" t="s">
        <v>141</v>
      </c>
      <c r="E1716" t="s">
        <v>127</v>
      </c>
      <c r="F1716" s="2">
        <v>180</v>
      </c>
    </row>
    <row r="1717" spans="1:6">
      <c r="A1717" s="1">
        <v>43644</v>
      </c>
      <c r="B1717" t="s">
        <v>1863</v>
      </c>
      <c r="C1717" t="s">
        <v>148</v>
      </c>
      <c r="D1717" t="s">
        <v>126</v>
      </c>
      <c r="E1717" t="s">
        <v>127</v>
      </c>
      <c r="F1717" s="2">
        <v>160</v>
      </c>
    </row>
    <row r="1718" spans="1:6">
      <c r="A1718" s="1">
        <v>43645</v>
      </c>
      <c r="B1718" t="s">
        <v>1864</v>
      </c>
      <c r="C1718" t="s">
        <v>223</v>
      </c>
      <c r="D1718" t="s">
        <v>130</v>
      </c>
      <c r="E1718" t="s">
        <v>153</v>
      </c>
      <c r="F1718" s="2">
        <v>100</v>
      </c>
    </row>
    <row r="1719" spans="1:6">
      <c r="A1719" s="1">
        <v>43645</v>
      </c>
      <c r="B1719" t="s">
        <v>1865</v>
      </c>
      <c r="C1719" t="s">
        <v>138</v>
      </c>
      <c r="D1719" t="s">
        <v>159</v>
      </c>
      <c r="E1719" t="s">
        <v>127</v>
      </c>
      <c r="F1719" s="2">
        <v>150</v>
      </c>
    </row>
    <row r="1720" spans="1:6">
      <c r="A1720" s="1">
        <v>43645</v>
      </c>
      <c r="B1720" t="s">
        <v>1866</v>
      </c>
      <c r="C1720" t="s">
        <v>167</v>
      </c>
      <c r="D1720" t="s">
        <v>141</v>
      </c>
      <c r="E1720" t="s">
        <v>121</v>
      </c>
      <c r="F1720" s="2">
        <v>180</v>
      </c>
    </row>
    <row r="1721" spans="1:6">
      <c r="A1721" s="1">
        <v>43645</v>
      </c>
      <c r="B1721" t="s">
        <v>1867</v>
      </c>
      <c r="C1721" t="s">
        <v>189</v>
      </c>
      <c r="D1721" t="s">
        <v>133</v>
      </c>
      <c r="E1721" t="s">
        <v>131</v>
      </c>
      <c r="F1721" s="2">
        <v>30</v>
      </c>
    </row>
    <row r="1722" spans="1:6">
      <c r="A1722" s="1">
        <v>43645</v>
      </c>
      <c r="B1722" t="s">
        <v>1868</v>
      </c>
      <c r="C1722" t="s">
        <v>138</v>
      </c>
      <c r="D1722" t="s">
        <v>159</v>
      </c>
      <c r="E1722" t="s">
        <v>121</v>
      </c>
      <c r="F1722" s="2">
        <v>150</v>
      </c>
    </row>
    <row r="1723" spans="1:6">
      <c r="A1723" s="1">
        <v>43645</v>
      </c>
      <c r="B1723" t="s">
        <v>1869</v>
      </c>
      <c r="C1723" t="s">
        <v>148</v>
      </c>
      <c r="D1723" t="s">
        <v>139</v>
      </c>
      <c r="E1723" t="s">
        <v>134</v>
      </c>
      <c r="F1723" s="2">
        <v>80</v>
      </c>
    </row>
    <row r="1724" spans="1:6">
      <c r="A1724" s="1">
        <v>43645</v>
      </c>
      <c r="B1724" t="s">
        <v>1870</v>
      </c>
      <c r="C1724" t="s">
        <v>119</v>
      </c>
      <c r="D1724" t="s">
        <v>120</v>
      </c>
      <c r="E1724" t="s">
        <v>134</v>
      </c>
      <c r="F1724" s="2">
        <v>90</v>
      </c>
    </row>
    <row r="1725" spans="1:6">
      <c r="A1725" s="1">
        <v>43645</v>
      </c>
      <c r="B1725" t="s">
        <v>1871</v>
      </c>
      <c r="C1725" t="s">
        <v>136</v>
      </c>
      <c r="D1725" t="s">
        <v>146</v>
      </c>
      <c r="E1725" t="s">
        <v>134</v>
      </c>
      <c r="F1725" s="2">
        <v>50</v>
      </c>
    </row>
    <row r="1726" spans="1:6">
      <c r="A1726" s="1">
        <v>43645</v>
      </c>
      <c r="B1726" t="s">
        <v>1872</v>
      </c>
      <c r="C1726" t="s">
        <v>123</v>
      </c>
      <c r="D1726" t="s">
        <v>146</v>
      </c>
      <c r="E1726" t="s">
        <v>131</v>
      </c>
      <c r="F1726" s="2">
        <v>50</v>
      </c>
    </row>
    <row r="1727" spans="1:6">
      <c r="A1727" s="1">
        <v>43645</v>
      </c>
      <c r="B1727" t="s">
        <v>1873</v>
      </c>
      <c r="C1727" t="s">
        <v>187</v>
      </c>
      <c r="D1727" t="s">
        <v>146</v>
      </c>
      <c r="E1727" t="s">
        <v>121</v>
      </c>
      <c r="F1727" s="2">
        <v>50</v>
      </c>
    </row>
    <row r="1728" spans="1:6">
      <c r="A1728" s="1">
        <v>43645</v>
      </c>
      <c r="B1728" t="s">
        <v>1874</v>
      </c>
      <c r="C1728" t="s">
        <v>123</v>
      </c>
      <c r="D1728" t="s">
        <v>146</v>
      </c>
      <c r="E1728" t="s">
        <v>131</v>
      </c>
      <c r="F1728" s="2">
        <v>50</v>
      </c>
    </row>
    <row r="1729" spans="1:6">
      <c r="A1729" s="1">
        <v>43646</v>
      </c>
      <c r="B1729" t="s">
        <v>1875</v>
      </c>
      <c r="C1729" t="s">
        <v>138</v>
      </c>
      <c r="D1729" t="s">
        <v>141</v>
      </c>
      <c r="E1729" t="s">
        <v>131</v>
      </c>
      <c r="F1729" s="2">
        <v>180</v>
      </c>
    </row>
    <row r="1730" spans="1:6">
      <c r="A1730" s="1">
        <v>43646</v>
      </c>
      <c r="B1730" t="s">
        <v>1876</v>
      </c>
      <c r="C1730" t="s">
        <v>148</v>
      </c>
      <c r="D1730" t="s">
        <v>126</v>
      </c>
      <c r="E1730" t="s">
        <v>131</v>
      </c>
      <c r="F1730" s="2">
        <v>160</v>
      </c>
    </row>
    <row r="1731" spans="1:6">
      <c r="A1731" s="1">
        <v>43646</v>
      </c>
      <c r="B1731" t="s">
        <v>1877</v>
      </c>
      <c r="C1731" t="s">
        <v>119</v>
      </c>
      <c r="D1731" t="s">
        <v>133</v>
      </c>
      <c r="E1731" t="s">
        <v>153</v>
      </c>
      <c r="F1731" s="2">
        <v>30</v>
      </c>
    </row>
    <row r="1732" spans="1:6">
      <c r="A1732" s="1">
        <v>43646</v>
      </c>
      <c r="B1732" t="s">
        <v>1878</v>
      </c>
      <c r="C1732" t="s">
        <v>164</v>
      </c>
      <c r="D1732" t="s">
        <v>146</v>
      </c>
      <c r="E1732" t="s">
        <v>134</v>
      </c>
      <c r="F1732" s="2">
        <v>50</v>
      </c>
    </row>
    <row r="1733" spans="1:6">
      <c r="A1733" s="1">
        <v>43646</v>
      </c>
      <c r="B1733" t="s">
        <v>1879</v>
      </c>
      <c r="C1733" t="s">
        <v>189</v>
      </c>
      <c r="D1733" t="s">
        <v>120</v>
      </c>
      <c r="E1733" t="s">
        <v>153</v>
      </c>
      <c r="F1733" s="2">
        <v>90</v>
      </c>
    </row>
    <row r="1734" spans="1:6">
      <c r="A1734" s="1">
        <v>43646</v>
      </c>
      <c r="B1734" t="s">
        <v>1880</v>
      </c>
      <c r="C1734" t="s">
        <v>143</v>
      </c>
      <c r="D1734" t="s">
        <v>133</v>
      </c>
      <c r="E1734" t="s">
        <v>134</v>
      </c>
      <c r="F1734" s="2">
        <v>30</v>
      </c>
    </row>
    <row r="1735" spans="1:6">
      <c r="A1735" s="1">
        <v>43646</v>
      </c>
      <c r="B1735" t="s">
        <v>1881</v>
      </c>
      <c r="C1735" t="s">
        <v>119</v>
      </c>
      <c r="D1735" t="s">
        <v>130</v>
      </c>
      <c r="E1735" t="s">
        <v>134</v>
      </c>
      <c r="F1735" s="2">
        <v>100</v>
      </c>
    </row>
    <row r="1736" spans="1:6">
      <c r="A1736" s="1">
        <v>43646</v>
      </c>
      <c r="B1736" t="s">
        <v>1882</v>
      </c>
      <c r="C1736" t="s">
        <v>167</v>
      </c>
      <c r="D1736" t="s">
        <v>133</v>
      </c>
      <c r="E1736" t="s">
        <v>127</v>
      </c>
      <c r="F1736" s="2">
        <v>30</v>
      </c>
    </row>
    <row r="1737" spans="1:6">
      <c r="A1737" s="1">
        <v>43646</v>
      </c>
      <c r="B1737" t="s">
        <v>1883</v>
      </c>
      <c r="C1737" t="s">
        <v>187</v>
      </c>
      <c r="D1737" t="s">
        <v>159</v>
      </c>
      <c r="E1737" t="s">
        <v>131</v>
      </c>
      <c r="F1737" s="2">
        <v>150</v>
      </c>
    </row>
    <row r="1738" spans="1:6">
      <c r="A1738" s="1">
        <v>43646</v>
      </c>
      <c r="B1738" t="s">
        <v>1884</v>
      </c>
      <c r="C1738" t="s">
        <v>187</v>
      </c>
      <c r="D1738" t="s">
        <v>141</v>
      </c>
      <c r="E1738" t="s">
        <v>131</v>
      </c>
      <c r="F1738" s="2">
        <v>180</v>
      </c>
    </row>
    <row r="1739" spans="1:6">
      <c r="A1739" s="1">
        <v>43646</v>
      </c>
      <c r="B1739" t="s">
        <v>1885</v>
      </c>
      <c r="C1739" t="s">
        <v>119</v>
      </c>
      <c r="D1739" t="s">
        <v>120</v>
      </c>
      <c r="E1739" t="s">
        <v>127</v>
      </c>
      <c r="F1739" s="2">
        <v>90</v>
      </c>
    </row>
    <row r="1740" spans="1:6">
      <c r="A1740" s="1">
        <v>43646</v>
      </c>
      <c r="B1740" t="s">
        <v>1886</v>
      </c>
      <c r="C1740" t="s">
        <v>138</v>
      </c>
      <c r="D1740" t="s">
        <v>120</v>
      </c>
      <c r="E1740" t="s">
        <v>134</v>
      </c>
      <c r="F1740" s="2">
        <v>90</v>
      </c>
    </row>
    <row r="1741" spans="1:6">
      <c r="A1741" s="1">
        <v>43647</v>
      </c>
      <c r="B1741" t="s">
        <v>1887</v>
      </c>
      <c r="C1741" t="s">
        <v>164</v>
      </c>
      <c r="D1741" t="s">
        <v>139</v>
      </c>
      <c r="E1741" t="s">
        <v>127</v>
      </c>
      <c r="F1741" s="2">
        <v>80</v>
      </c>
    </row>
    <row r="1742" spans="1:6">
      <c r="A1742" s="1">
        <v>43647</v>
      </c>
      <c r="B1742" t="s">
        <v>1888</v>
      </c>
      <c r="C1742" t="s">
        <v>145</v>
      </c>
      <c r="D1742" t="s">
        <v>130</v>
      </c>
      <c r="E1742" t="s">
        <v>121</v>
      </c>
      <c r="F1742" s="2">
        <v>100</v>
      </c>
    </row>
    <row r="1743" spans="1:6">
      <c r="A1743" s="1">
        <v>43647</v>
      </c>
      <c r="B1743" t="s">
        <v>1889</v>
      </c>
      <c r="C1743" t="s">
        <v>223</v>
      </c>
      <c r="D1743" t="s">
        <v>141</v>
      </c>
      <c r="E1743" t="s">
        <v>134</v>
      </c>
      <c r="F1743" s="2">
        <v>180</v>
      </c>
    </row>
    <row r="1744" spans="1:6">
      <c r="A1744" s="1">
        <v>43647</v>
      </c>
      <c r="B1744" t="s">
        <v>1890</v>
      </c>
      <c r="C1744" t="s">
        <v>123</v>
      </c>
      <c r="D1744" t="s">
        <v>139</v>
      </c>
      <c r="E1744" t="s">
        <v>153</v>
      </c>
      <c r="F1744" s="2">
        <v>80</v>
      </c>
    </row>
    <row r="1745" spans="1:6">
      <c r="A1745" s="1">
        <v>43647</v>
      </c>
      <c r="B1745" t="s">
        <v>1891</v>
      </c>
      <c r="C1745" t="s">
        <v>164</v>
      </c>
      <c r="D1745" t="s">
        <v>146</v>
      </c>
      <c r="E1745" t="s">
        <v>134</v>
      </c>
      <c r="F1745" s="2">
        <v>50</v>
      </c>
    </row>
    <row r="1746" spans="1:6">
      <c r="A1746" s="1">
        <v>43647</v>
      </c>
      <c r="B1746" t="s">
        <v>1892</v>
      </c>
      <c r="C1746" t="s">
        <v>148</v>
      </c>
      <c r="D1746" t="s">
        <v>139</v>
      </c>
      <c r="E1746" t="s">
        <v>131</v>
      </c>
      <c r="F1746" s="2">
        <v>80</v>
      </c>
    </row>
    <row r="1747" spans="1:6">
      <c r="A1747" s="1">
        <v>43647</v>
      </c>
      <c r="B1747" t="s">
        <v>1893</v>
      </c>
      <c r="C1747" t="s">
        <v>145</v>
      </c>
      <c r="D1747" t="s">
        <v>159</v>
      </c>
      <c r="E1747" t="s">
        <v>134</v>
      </c>
      <c r="F1747" s="2">
        <v>150</v>
      </c>
    </row>
    <row r="1748" spans="1:6">
      <c r="A1748" s="1">
        <v>43647</v>
      </c>
      <c r="B1748" t="s">
        <v>1894</v>
      </c>
      <c r="C1748" t="s">
        <v>143</v>
      </c>
      <c r="D1748" t="s">
        <v>141</v>
      </c>
      <c r="E1748" t="s">
        <v>121</v>
      </c>
      <c r="F1748" s="2">
        <v>180</v>
      </c>
    </row>
    <row r="1749" spans="1:6">
      <c r="A1749" s="1">
        <v>43647</v>
      </c>
      <c r="B1749" t="s">
        <v>1895</v>
      </c>
      <c r="C1749" t="s">
        <v>164</v>
      </c>
      <c r="D1749" t="s">
        <v>126</v>
      </c>
      <c r="E1749" t="s">
        <v>153</v>
      </c>
      <c r="F1749" s="2">
        <v>160</v>
      </c>
    </row>
    <row r="1750" spans="1:6">
      <c r="A1750" s="1">
        <v>43647</v>
      </c>
      <c r="B1750" t="s">
        <v>1896</v>
      </c>
      <c r="C1750" t="s">
        <v>167</v>
      </c>
      <c r="D1750" t="s">
        <v>139</v>
      </c>
      <c r="E1750" t="s">
        <v>131</v>
      </c>
      <c r="F1750" s="2">
        <v>80</v>
      </c>
    </row>
    <row r="1751" spans="1:6">
      <c r="A1751" s="1">
        <v>43647</v>
      </c>
      <c r="B1751" t="s">
        <v>1897</v>
      </c>
      <c r="C1751" t="s">
        <v>143</v>
      </c>
      <c r="D1751" t="s">
        <v>139</v>
      </c>
      <c r="E1751" t="s">
        <v>131</v>
      </c>
      <c r="F1751" s="2">
        <v>80</v>
      </c>
    </row>
    <row r="1752" spans="1:6">
      <c r="A1752" s="1">
        <v>43648</v>
      </c>
      <c r="B1752" t="s">
        <v>1898</v>
      </c>
      <c r="C1752" t="s">
        <v>143</v>
      </c>
      <c r="D1752" t="s">
        <v>130</v>
      </c>
      <c r="E1752" t="s">
        <v>127</v>
      </c>
      <c r="F1752" s="2">
        <v>100</v>
      </c>
    </row>
    <row r="1753" spans="1:6">
      <c r="A1753" s="1">
        <v>43648</v>
      </c>
      <c r="B1753" t="s">
        <v>1899</v>
      </c>
      <c r="C1753" t="s">
        <v>157</v>
      </c>
      <c r="D1753" t="s">
        <v>159</v>
      </c>
      <c r="E1753" t="s">
        <v>153</v>
      </c>
      <c r="F1753" s="2">
        <v>150</v>
      </c>
    </row>
    <row r="1754" spans="1:6">
      <c r="A1754" s="1">
        <v>43648</v>
      </c>
      <c r="B1754" t="s">
        <v>1900</v>
      </c>
      <c r="C1754" t="s">
        <v>152</v>
      </c>
      <c r="D1754" t="s">
        <v>146</v>
      </c>
      <c r="E1754" t="s">
        <v>153</v>
      </c>
      <c r="F1754" s="2">
        <v>50</v>
      </c>
    </row>
    <row r="1755" spans="1:6">
      <c r="A1755" s="1">
        <v>43648</v>
      </c>
      <c r="B1755" t="s">
        <v>1901</v>
      </c>
      <c r="C1755" t="s">
        <v>167</v>
      </c>
      <c r="D1755" t="s">
        <v>120</v>
      </c>
      <c r="E1755" t="s">
        <v>121</v>
      </c>
      <c r="F1755" s="2">
        <v>90</v>
      </c>
    </row>
    <row r="1756" spans="1:6">
      <c r="A1756" s="1">
        <v>43648</v>
      </c>
      <c r="B1756" t="s">
        <v>1902</v>
      </c>
      <c r="C1756" t="s">
        <v>119</v>
      </c>
      <c r="D1756" t="s">
        <v>139</v>
      </c>
      <c r="E1756" t="s">
        <v>131</v>
      </c>
      <c r="F1756" s="2">
        <v>80</v>
      </c>
    </row>
    <row r="1757" spans="1:6">
      <c r="A1757" s="1">
        <v>43648</v>
      </c>
      <c r="B1757" t="s">
        <v>1903</v>
      </c>
      <c r="C1757" t="s">
        <v>157</v>
      </c>
      <c r="D1757" t="s">
        <v>159</v>
      </c>
      <c r="E1757" t="s">
        <v>121</v>
      </c>
      <c r="F1757" s="2">
        <v>150</v>
      </c>
    </row>
    <row r="1758" spans="1:6">
      <c r="A1758" s="1">
        <v>43648</v>
      </c>
      <c r="B1758" t="s">
        <v>1904</v>
      </c>
      <c r="C1758" t="s">
        <v>119</v>
      </c>
      <c r="D1758" t="s">
        <v>146</v>
      </c>
      <c r="E1758" t="s">
        <v>134</v>
      </c>
      <c r="F1758" s="2">
        <v>50</v>
      </c>
    </row>
    <row r="1759" spans="1:6">
      <c r="A1759" s="1">
        <v>43649</v>
      </c>
      <c r="B1759" t="s">
        <v>1905</v>
      </c>
      <c r="C1759" t="s">
        <v>129</v>
      </c>
      <c r="D1759" t="s">
        <v>126</v>
      </c>
      <c r="E1759" t="s">
        <v>153</v>
      </c>
      <c r="F1759" s="2">
        <v>160</v>
      </c>
    </row>
    <row r="1760" spans="1:6">
      <c r="A1760" s="1">
        <v>43649</v>
      </c>
      <c r="B1760" t="s">
        <v>1906</v>
      </c>
      <c r="C1760" t="s">
        <v>138</v>
      </c>
      <c r="D1760" t="s">
        <v>159</v>
      </c>
      <c r="E1760" t="s">
        <v>134</v>
      </c>
      <c r="F1760" s="2">
        <v>150</v>
      </c>
    </row>
    <row r="1761" spans="1:6">
      <c r="A1761" s="1">
        <v>43649</v>
      </c>
      <c r="B1761" t="s">
        <v>1907</v>
      </c>
      <c r="C1761" t="s">
        <v>223</v>
      </c>
      <c r="D1761" t="s">
        <v>139</v>
      </c>
      <c r="E1761" t="s">
        <v>134</v>
      </c>
      <c r="F1761" s="2">
        <v>80</v>
      </c>
    </row>
    <row r="1762" spans="1:6">
      <c r="A1762" s="1">
        <v>43649</v>
      </c>
      <c r="B1762" t="s">
        <v>1908</v>
      </c>
      <c r="C1762" t="s">
        <v>167</v>
      </c>
      <c r="D1762" t="s">
        <v>139</v>
      </c>
      <c r="E1762" t="s">
        <v>127</v>
      </c>
      <c r="F1762" s="2">
        <v>80</v>
      </c>
    </row>
    <row r="1763" spans="1:6">
      <c r="A1763" s="1">
        <v>43649</v>
      </c>
      <c r="B1763" t="s">
        <v>1909</v>
      </c>
      <c r="C1763" t="s">
        <v>182</v>
      </c>
      <c r="D1763" t="s">
        <v>146</v>
      </c>
      <c r="E1763" t="s">
        <v>121</v>
      </c>
      <c r="F1763" s="2">
        <v>50</v>
      </c>
    </row>
    <row r="1764" spans="1:6">
      <c r="A1764" s="1">
        <v>43649</v>
      </c>
      <c r="B1764" t="s">
        <v>1910</v>
      </c>
      <c r="C1764" t="s">
        <v>125</v>
      </c>
      <c r="D1764" t="s">
        <v>133</v>
      </c>
      <c r="E1764" t="s">
        <v>134</v>
      </c>
      <c r="F1764" s="2">
        <v>30</v>
      </c>
    </row>
    <row r="1765" spans="1:6">
      <c r="A1765" s="1">
        <v>43649</v>
      </c>
      <c r="B1765" t="s">
        <v>1911</v>
      </c>
      <c r="C1765" t="s">
        <v>143</v>
      </c>
      <c r="D1765" t="s">
        <v>141</v>
      </c>
      <c r="E1765" t="s">
        <v>127</v>
      </c>
      <c r="F1765" s="2">
        <v>180</v>
      </c>
    </row>
    <row r="1766" spans="1:6">
      <c r="A1766" s="1">
        <v>43649</v>
      </c>
      <c r="B1766" t="s">
        <v>1912</v>
      </c>
      <c r="C1766" t="s">
        <v>157</v>
      </c>
      <c r="D1766" t="s">
        <v>130</v>
      </c>
      <c r="E1766" t="s">
        <v>134</v>
      </c>
      <c r="F1766" s="2">
        <v>100</v>
      </c>
    </row>
    <row r="1767" spans="1:6">
      <c r="A1767" s="1">
        <v>43649</v>
      </c>
      <c r="B1767" t="s">
        <v>1913</v>
      </c>
      <c r="C1767" t="s">
        <v>138</v>
      </c>
      <c r="D1767" t="s">
        <v>139</v>
      </c>
      <c r="E1767" t="s">
        <v>131</v>
      </c>
      <c r="F1767" s="2">
        <v>80</v>
      </c>
    </row>
    <row r="1768" spans="1:6">
      <c r="A1768" s="1">
        <v>43649</v>
      </c>
      <c r="B1768" t="s">
        <v>1914</v>
      </c>
      <c r="C1768" t="s">
        <v>123</v>
      </c>
      <c r="D1768" t="s">
        <v>159</v>
      </c>
      <c r="E1768" t="s">
        <v>131</v>
      </c>
      <c r="F1768" s="2">
        <v>150</v>
      </c>
    </row>
    <row r="1769" spans="1:6">
      <c r="A1769" s="1">
        <v>43649</v>
      </c>
      <c r="B1769" t="s">
        <v>1915</v>
      </c>
      <c r="C1769" t="s">
        <v>167</v>
      </c>
      <c r="D1769" t="s">
        <v>120</v>
      </c>
      <c r="E1769" t="s">
        <v>134</v>
      </c>
      <c r="F1769" s="2">
        <v>90</v>
      </c>
    </row>
    <row r="1770" spans="1:6">
      <c r="A1770" s="1">
        <v>43649</v>
      </c>
      <c r="B1770" t="s">
        <v>1916</v>
      </c>
      <c r="C1770" t="s">
        <v>157</v>
      </c>
      <c r="D1770" t="s">
        <v>130</v>
      </c>
      <c r="E1770" t="s">
        <v>131</v>
      </c>
      <c r="F1770" s="2">
        <v>100</v>
      </c>
    </row>
    <row r="1771" spans="1:6">
      <c r="A1771" s="1">
        <v>43649</v>
      </c>
      <c r="B1771" t="s">
        <v>1917</v>
      </c>
      <c r="C1771" t="s">
        <v>157</v>
      </c>
      <c r="D1771" t="s">
        <v>139</v>
      </c>
      <c r="E1771" t="s">
        <v>131</v>
      </c>
      <c r="F1771" s="2">
        <v>80</v>
      </c>
    </row>
    <row r="1772" spans="1:6">
      <c r="A1772" s="1">
        <v>43649</v>
      </c>
      <c r="B1772" t="s">
        <v>1918</v>
      </c>
      <c r="C1772" t="s">
        <v>167</v>
      </c>
      <c r="D1772" t="s">
        <v>130</v>
      </c>
      <c r="E1772" t="s">
        <v>121</v>
      </c>
      <c r="F1772" s="2">
        <v>100</v>
      </c>
    </row>
    <row r="1773" spans="1:6">
      <c r="A1773" s="1">
        <v>43649</v>
      </c>
      <c r="B1773" t="s">
        <v>1919</v>
      </c>
      <c r="C1773" t="s">
        <v>138</v>
      </c>
      <c r="D1773" t="s">
        <v>141</v>
      </c>
      <c r="E1773" t="s">
        <v>134</v>
      </c>
      <c r="F1773" s="2">
        <v>180</v>
      </c>
    </row>
    <row r="1774" spans="1:6">
      <c r="A1774" s="1">
        <v>43649</v>
      </c>
      <c r="B1774" t="s">
        <v>1920</v>
      </c>
      <c r="C1774" t="s">
        <v>223</v>
      </c>
      <c r="D1774" t="s">
        <v>159</v>
      </c>
      <c r="E1774" t="s">
        <v>127</v>
      </c>
      <c r="F1774" s="2">
        <v>150</v>
      </c>
    </row>
    <row r="1775" spans="1:6">
      <c r="A1775" s="1">
        <v>43650</v>
      </c>
      <c r="B1775" t="s">
        <v>1921</v>
      </c>
      <c r="C1775" t="s">
        <v>129</v>
      </c>
      <c r="D1775" t="s">
        <v>139</v>
      </c>
      <c r="E1775" t="s">
        <v>134</v>
      </c>
      <c r="F1775" s="2">
        <v>80</v>
      </c>
    </row>
    <row r="1776" spans="1:6">
      <c r="A1776" s="1">
        <v>43650</v>
      </c>
      <c r="B1776" t="s">
        <v>1922</v>
      </c>
      <c r="C1776" t="s">
        <v>145</v>
      </c>
      <c r="D1776" t="s">
        <v>120</v>
      </c>
      <c r="E1776" t="s">
        <v>127</v>
      </c>
      <c r="F1776" s="2">
        <v>90</v>
      </c>
    </row>
    <row r="1777" spans="1:6">
      <c r="A1777" s="1">
        <v>43650</v>
      </c>
      <c r="B1777" t="s">
        <v>1923</v>
      </c>
      <c r="C1777" t="s">
        <v>223</v>
      </c>
      <c r="D1777" t="s">
        <v>146</v>
      </c>
      <c r="E1777" t="s">
        <v>134</v>
      </c>
      <c r="F1777" s="2">
        <v>50</v>
      </c>
    </row>
    <row r="1778" spans="1:6">
      <c r="A1778" s="1">
        <v>43650</v>
      </c>
      <c r="B1778" t="s">
        <v>1924</v>
      </c>
      <c r="C1778" t="s">
        <v>123</v>
      </c>
      <c r="D1778" t="s">
        <v>130</v>
      </c>
      <c r="E1778" t="s">
        <v>131</v>
      </c>
      <c r="F1778" s="2">
        <v>100</v>
      </c>
    </row>
    <row r="1779" spans="1:6">
      <c r="A1779" s="1">
        <v>43650</v>
      </c>
      <c r="B1779" t="s">
        <v>1925</v>
      </c>
      <c r="C1779" t="s">
        <v>157</v>
      </c>
      <c r="D1779" t="s">
        <v>130</v>
      </c>
      <c r="E1779" t="s">
        <v>121</v>
      </c>
      <c r="F1779" s="2">
        <v>100</v>
      </c>
    </row>
    <row r="1780" spans="1:6">
      <c r="A1780" s="1">
        <v>43650</v>
      </c>
      <c r="B1780" t="s">
        <v>1926</v>
      </c>
      <c r="C1780" t="s">
        <v>182</v>
      </c>
      <c r="D1780" t="s">
        <v>159</v>
      </c>
      <c r="E1780" t="s">
        <v>127</v>
      </c>
      <c r="F1780" s="2">
        <v>150</v>
      </c>
    </row>
    <row r="1781" spans="1:6">
      <c r="A1781" s="1">
        <v>43650</v>
      </c>
      <c r="B1781" t="s">
        <v>1927</v>
      </c>
      <c r="C1781" t="s">
        <v>143</v>
      </c>
      <c r="D1781" t="s">
        <v>126</v>
      </c>
      <c r="E1781" t="s">
        <v>121</v>
      </c>
      <c r="F1781" s="2">
        <v>160</v>
      </c>
    </row>
    <row r="1782" spans="1:6">
      <c r="A1782" s="1">
        <v>43650</v>
      </c>
      <c r="B1782" t="s">
        <v>1928</v>
      </c>
      <c r="C1782" t="s">
        <v>152</v>
      </c>
      <c r="D1782" t="s">
        <v>130</v>
      </c>
      <c r="E1782" t="s">
        <v>131</v>
      </c>
      <c r="F1782" s="2">
        <v>100</v>
      </c>
    </row>
    <row r="1783" spans="1:6">
      <c r="A1783" s="1">
        <v>43650</v>
      </c>
      <c r="B1783" t="s">
        <v>1929</v>
      </c>
      <c r="C1783" t="s">
        <v>119</v>
      </c>
      <c r="D1783" t="s">
        <v>141</v>
      </c>
      <c r="E1783" t="s">
        <v>153</v>
      </c>
      <c r="F1783" s="2">
        <v>180</v>
      </c>
    </row>
    <row r="1784" spans="1:6">
      <c r="A1784" s="1">
        <v>43651</v>
      </c>
      <c r="B1784" t="s">
        <v>1930</v>
      </c>
      <c r="C1784" t="s">
        <v>123</v>
      </c>
      <c r="D1784" t="s">
        <v>139</v>
      </c>
      <c r="E1784" t="s">
        <v>134</v>
      </c>
      <c r="F1784" s="2">
        <v>80</v>
      </c>
    </row>
    <row r="1785" spans="1:6">
      <c r="A1785" s="1">
        <v>43651</v>
      </c>
      <c r="B1785" t="s">
        <v>1931</v>
      </c>
      <c r="C1785" t="s">
        <v>145</v>
      </c>
      <c r="D1785" t="s">
        <v>141</v>
      </c>
      <c r="E1785" t="s">
        <v>121</v>
      </c>
      <c r="F1785" s="2">
        <v>180</v>
      </c>
    </row>
    <row r="1786" spans="1:6">
      <c r="A1786" s="1">
        <v>43651</v>
      </c>
      <c r="B1786" t="s">
        <v>1932</v>
      </c>
      <c r="C1786" t="s">
        <v>189</v>
      </c>
      <c r="D1786" t="s">
        <v>130</v>
      </c>
      <c r="E1786" t="s">
        <v>121</v>
      </c>
      <c r="F1786" s="2">
        <v>100</v>
      </c>
    </row>
    <row r="1787" spans="1:6">
      <c r="A1787" s="1">
        <v>43651</v>
      </c>
      <c r="B1787" t="s">
        <v>1933</v>
      </c>
      <c r="C1787" t="s">
        <v>138</v>
      </c>
      <c r="D1787" t="s">
        <v>126</v>
      </c>
      <c r="E1787" t="s">
        <v>153</v>
      </c>
      <c r="F1787" s="2">
        <v>160</v>
      </c>
    </row>
    <row r="1788" spans="1:6">
      <c r="A1788" s="1">
        <v>43651</v>
      </c>
      <c r="B1788" t="s">
        <v>1934</v>
      </c>
      <c r="C1788" t="s">
        <v>129</v>
      </c>
      <c r="D1788" t="s">
        <v>120</v>
      </c>
      <c r="E1788" t="s">
        <v>153</v>
      </c>
      <c r="F1788" s="2">
        <v>90</v>
      </c>
    </row>
    <row r="1789" spans="1:6">
      <c r="A1789" s="1">
        <v>43651</v>
      </c>
      <c r="B1789" t="s">
        <v>1935</v>
      </c>
      <c r="C1789" t="s">
        <v>129</v>
      </c>
      <c r="D1789" t="s">
        <v>120</v>
      </c>
      <c r="E1789" t="s">
        <v>153</v>
      </c>
      <c r="F1789" s="2">
        <v>90</v>
      </c>
    </row>
    <row r="1790" spans="1:6">
      <c r="A1790" s="1">
        <v>43651</v>
      </c>
      <c r="B1790" t="s">
        <v>1936</v>
      </c>
      <c r="C1790" t="s">
        <v>143</v>
      </c>
      <c r="D1790" t="s">
        <v>120</v>
      </c>
      <c r="E1790" t="s">
        <v>131</v>
      </c>
      <c r="F1790" s="2">
        <v>90</v>
      </c>
    </row>
    <row r="1791" spans="1:6">
      <c r="A1791" s="1">
        <v>43651</v>
      </c>
      <c r="B1791" t="s">
        <v>1937</v>
      </c>
      <c r="C1791" t="s">
        <v>123</v>
      </c>
      <c r="D1791" t="s">
        <v>133</v>
      </c>
      <c r="E1791" t="s">
        <v>134</v>
      </c>
      <c r="F1791" s="2">
        <v>30</v>
      </c>
    </row>
    <row r="1792" spans="1:6">
      <c r="A1792" s="1">
        <v>43651</v>
      </c>
      <c r="B1792" t="s">
        <v>1938</v>
      </c>
      <c r="C1792" t="s">
        <v>157</v>
      </c>
      <c r="D1792" t="s">
        <v>146</v>
      </c>
      <c r="E1792" t="s">
        <v>153</v>
      </c>
      <c r="F1792" s="2">
        <v>50</v>
      </c>
    </row>
    <row r="1793" spans="1:6">
      <c r="A1793" s="1">
        <v>43651</v>
      </c>
      <c r="B1793" t="s">
        <v>1939</v>
      </c>
      <c r="C1793" t="s">
        <v>157</v>
      </c>
      <c r="D1793" t="s">
        <v>159</v>
      </c>
      <c r="E1793" t="s">
        <v>134</v>
      </c>
      <c r="F1793" s="2">
        <v>150</v>
      </c>
    </row>
    <row r="1794" spans="1:6">
      <c r="A1794" s="1">
        <v>43652</v>
      </c>
      <c r="B1794" t="s">
        <v>1940</v>
      </c>
      <c r="C1794" t="s">
        <v>157</v>
      </c>
      <c r="D1794" t="s">
        <v>146</v>
      </c>
      <c r="E1794" t="s">
        <v>127</v>
      </c>
      <c r="F1794" s="2">
        <v>50</v>
      </c>
    </row>
    <row r="1795" spans="1:6">
      <c r="A1795" s="1">
        <v>43652</v>
      </c>
      <c r="B1795" t="s">
        <v>1941</v>
      </c>
      <c r="C1795" t="s">
        <v>143</v>
      </c>
      <c r="D1795" t="s">
        <v>133</v>
      </c>
      <c r="E1795" t="s">
        <v>131</v>
      </c>
      <c r="F1795" s="2">
        <v>30</v>
      </c>
    </row>
    <row r="1796" spans="1:6">
      <c r="A1796" s="1">
        <v>43652</v>
      </c>
      <c r="B1796" t="s">
        <v>1942</v>
      </c>
      <c r="C1796" t="s">
        <v>223</v>
      </c>
      <c r="D1796" t="s">
        <v>159</v>
      </c>
      <c r="E1796" t="s">
        <v>121</v>
      </c>
      <c r="F1796" s="2">
        <v>150</v>
      </c>
    </row>
    <row r="1797" spans="1:6">
      <c r="A1797" s="1">
        <v>43652</v>
      </c>
      <c r="B1797" t="s">
        <v>1943</v>
      </c>
      <c r="C1797" t="s">
        <v>182</v>
      </c>
      <c r="D1797" t="s">
        <v>130</v>
      </c>
      <c r="E1797" t="s">
        <v>127</v>
      </c>
      <c r="F1797" s="2">
        <v>100</v>
      </c>
    </row>
    <row r="1798" spans="1:6">
      <c r="A1798" s="1">
        <v>43652</v>
      </c>
      <c r="B1798" t="s">
        <v>1944</v>
      </c>
      <c r="C1798" t="s">
        <v>138</v>
      </c>
      <c r="D1798" t="s">
        <v>133</v>
      </c>
      <c r="E1798" t="s">
        <v>121</v>
      </c>
      <c r="F1798" s="2">
        <v>30</v>
      </c>
    </row>
    <row r="1799" spans="1:6">
      <c r="A1799" s="1">
        <v>43652</v>
      </c>
      <c r="B1799" t="s">
        <v>1945</v>
      </c>
      <c r="C1799" t="s">
        <v>123</v>
      </c>
      <c r="D1799" t="s">
        <v>120</v>
      </c>
      <c r="E1799" t="s">
        <v>121</v>
      </c>
      <c r="F1799" s="2">
        <v>90</v>
      </c>
    </row>
    <row r="1800" spans="1:6">
      <c r="A1800" s="1">
        <v>43652</v>
      </c>
      <c r="B1800" t="s">
        <v>1946</v>
      </c>
      <c r="C1800" t="s">
        <v>187</v>
      </c>
      <c r="D1800" t="s">
        <v>133</v>
      </c>
      <c r="E1800" t="s">
        <v>134</v>
      </c>
      <c r="F1800" s="2">
        <v>30</v>
      </c>
    </row>
    <row r="1801" spans="1:6">
      <c r="A1801" s="1">
        <v>43652</v>
      </c>
      <c r="B1801" t="s">
        <v>1947</v>
      </c>
      <c r="C1801" t="s">
        <v>164</v>
      </c>
      <c r="D1801" t="s">
        <v>130</v>
      </c>
      <c r="E1801" t="s">
        <v>121</v>
      </c>
      <c r="F1801" s="2">
        <v>100</v>
      </c>
    </row>
    <row r="1802" spans="1:6">
      <c r="A1802" s="1">
        <v>43652</v>
      </c>
      <c r="B1802" t="s">
        <v>1948</v>
      </c>
      <c r="C1802" t="s">
        <v>187</v>
      </c>
      <c r="D1802" t="s">
        <v>126</v>
      </c>
      <c r="E1802" t="s">
        <v>127</v>
      </c>
      <c r="F1802" s="2">
        <v>160</v>
      </c>
    </row>
    <row r="1803" spans="1:6">
      <c r="A1803" s="1">
        <v>43653</v>
      </c>
      <c r="B1803" t="s">
        <v>1949</v>
      </c>
      <c r="C1803" t="s">
        <v>223</v>
      </c>
      <c r="D1803" t="s">
        <v>146</v>
      </c>
      <c r="E1803" t="s">
        <v>131</v>
      </c>
      <c r="F1803" s="2">
        <v>50</v>
      </c>
    </row>
    <row r="1804" spans="1:6">
      <c r="A1804" s="1">
        <v>43653</v>
      </c>
      <c r="B1804" t="s">
        <v>1950</v>
      </c>
      <c r="C1804" t="s">
        <v>223</v>
      </c>
      <c r="D1804" t="s">
        <v>130</v>
      </c>
      <c r="E1804" t="s">
        <v>134</v>
      </c>
      <c r="F1804" s="2">
        <v>100</v>
      </c>
    </row>
    <row r="1805" spans="1:6">
      <c r="A1805" s="1">
        <v>43653</v>
      </c>
      <c r="B1805" t="s">
        <v>1951</v>
      </c>
      <c r="C1805" t="s">
        <v>164</v>
      </c>
      <c r="D1805" t="s">
        <v>120</v>
      </c>
      <c r="E1805" t="s">
        <v>134</v>
      </c>
      <c r="F1805" s="2">
        <v>90</v>
      </c>
    </row>
    <row r="1806" spans="1:6">
      <c r="A1806" s="1">
        <v>43653</v>
      </c>
      <c r="B1806" t="s">
        <v>1952</v>
      </c>
      <c r="C1806" t="s">
        <v>143</v>
      </c>
      <c r="D1806" t="s">
        <v>126</v>
      </c>
      <c r="E1806" t="s">
        <v>131</v>
      </c>
      <c r="F1806" s="2">
        <v>160</v>
      </c>
    </row>
    <row r="1807" spans="1:6">
      <c r="A1807" s="1">
        <v>43653</v>
      </c>
      <c r="B1807" t="s">
        <v>1953</v>
      </c>
      <c r="C1807" t="s">
        <v>138</v>
      </c>
      <c r="D1807" t="s">
        <v>130</v>
      </c>
      <c r="E1807" t="s">
        <v>127</v>
      </c>
      <c r="F1807" s="2">
        <v>100</v>
      </c>
    </row>
    <row r="1808" spans="1:6">
      <c r="A1808" s="1">
        <v>43653</v>
      </c>
      <c r="B1808" t="s">
        <v>1954</v>
      </c>
      <c r="C1808" t="s">
        <v>123</v>
      </c>
      <c r="D1808" t="s">
        <v>139</v>
      </c>
      <c r="E1808" t="s">
        <v>127</v>
      </c>
      <c r="F1808" s="2">
        <v>80</v>
      </c>
    </row>
    <row r="1809" spans="1:6">
      <c r="A1809" s="1">
        <v>43653</v>
      </c>
      <c r="B1809" t="s">
        <v>1955</v>
      </c>
      <c r="C1809" t="s">
        <v>157</v>
      </c>
      <c r="D1809" t="s">
        <v>130</v>
      </c>
      <c r="E1809" t="s">
        <v>153</v>
      </c>
      <c r="F1809" s="2">
        <v>100</v>
      </c>
    </row>
    <row r="1810" spans="1:6">
      <c r="A1810" s="1">
        <v>43653</v>
      </c>
      <c r="B1810" t="s">
        <v>1956</v>
      </c>
      <c r="C1810" t="s">
        <v>136</v>
      </c>
      <c r="D1810" t="s">
        <v>130</v>
      </c>
      <c r="E1810" t="s">
        <v>127</v>
      </c>
      <c r="F1810" s="2">
        <v>100</v>
      </c>
    </row>
    <row r="1811" spans="1:6">
      <c r="A1811" s="1">
        <v>43653</v>
      </c>
      <c r="B1811" t="s">
        <v>1957</v>
      </c>
      <c r="C1811" t="s">
        <v>182</v>
      </c>
      <c r="D1811" t="s">
        <v>133</v>
      </c>
      <c r="E1811" t="s">
        <v>153</v>
      </c>
      <c r="F1811" s="2">
        <v>30</v>
      </c>
    </row>
    <row r="1812" spans="1:6">
      <c r="A1812" s="1">
        <v>43653</v>
      </c>
      <c r="B1812" t="s">
        <v>1958</v>
      </c>
      <c r="C1812" t="s">
        <v>148</v>
      </c>
      <c r="D1812" t="s">
        <v>130</v>
      </c>
      <c r="E1812" t="s">
        <v>131</v>
      </c>
      <c r="F1812" s="2">
        <v>100</v>
      </c>
    </row>
    <row r="1813" spans="1:6">
      <c r="A1813" s="1">
        <v>43653</v>
      </c>
      <c r="B1813" t="s">
        <v>1959</v>
      </c>
      <c r="C1813" t="s">
        <v>138</v>
      </c>
      <c r="D1813" t="s">
        <v>130</v>
      </c>
      <c r="E1813" t="s">
        <v>121</v>
      </c>
      <c r="F1813" s="2">
        <v>100</v>
      </c>
    </row>
    <row r="1814" spans="1:6">
      <c r="A1814" s="1">
        <v>43653</v>
      </c>
      <c r="B1814" t="s">
        <v>1960</v>
      </c>
      <c r="C1814" t="s">
        <v>189</v>
      </c>
      <c r="D1814" t="s">
        <v>126</v>
      </c>
      <c r="E1814" t="s">
        <v>153</v>
      </c>
      <c r="F1814" s="2">
        <v>160</v>
      </c>
    </row>
    <row r="1815" spans="1:6">
      <c r="A1815" s="1">
        <v>43653</v>
      </c>
      <c r="B1815" t="s">
        <v>1961</v>
      </c>
      <c r="C1815" t="s">
        <v>125</v>
      </c>
      <c r="D1815" t="s">
        <v>159</v>
      </c>
      <c r="E1815" t="s">
        <v>131</v>
      </c>
      <c r="F1815" s="2">
        <v>150</v>
      </c>
    </row>
    <row r="1816" spans="1:6">
      <c r="A1816" s="1">
        <v>43653</v>
      </c>
      <c r="B1816" t="s">
        <v>1962</v>
      </c>
      <c r="C1816" t="s">
        <v>148</v>
      </c>
      <c r="D1816" t="s">
        <v>139</v>
      </c>
      <c r="E1816" t="s">
        <v>131</v>
      </c>
      <c r="F1816" s="2">
        <v>80</v>
      </c>
    </row>
    <row r="1817" spans="1:6">
      <c r="A1817" s="1">
        <v>43654</v>
      </c>
      <c r="B1817" t="s">
        <v>1963</v>
      </c>
      <c r="C1817" t="s">
        <v>187</v>
      </c>
      <c r="D1817" t="s">
        <v>159</v>
      </c>
      <c r="E1817" t="s">
        <v>121</v>
      </c>
      <c r="F1817" s="2">
        <v>150</v>
      </c>
    </row>
    <row r="1818" spans="1:6">
      <c r="A1818" s="1">
        <v>43654</v>
      </c>
      <c r="B1818" t="s">
        <v>1964</v>
      </c>
      <c r="C1818" t="s">
        <v>138</v>
      </c>
      <c r="D1818" t="s">
        <v>159</v>
      </c>
      <c r="E1818" t="s">
        <v>127</v>
      </c>
      <c r="F1818" s="2">
        <v>150</v>
      </c>
    </row>
    <row r="1819" spans="1:6">
      <c r="A1819" s="1">
        <v>43654</v>
      </c>
      <c r="B1819" t="s">
        <v>1965</v>
      </c>
      <c r="C1819" t="s">
        <v>145</v>
      </c>
      <c r="D1819" t="s">
        <v>159</v>
      </c>
      <c r="E1819" t="s">
        <v>153</v>
      </c>
      <c r="F1819" s="2">
        <v>150</v>
      </c>
    </row>
    <row r="1820" spans="1:6">
      <c r="A1820" s="1">
        <v>43654</v>
      </c>
      <c r="B1820" t="s">
        <v>1966</v>
      </c>
      <c r="C1820" t="s">
        <v>167</v>
      </c>
      <c r="D1820" t="s">
        <v>130</v>
      </c>
      <c r="E1820" t="s">
        <v>153</v>
      </c>
      <c r="F1820" s="2">
        <v>100</v>
      </c>
    </row>
    <row r="1821" spans="1:6">
      <c r="A1821" s="1">
        <v>43655</v>
      </c>
      <c r="B1821" t="s">
        <v>1967</v>
      </c>
      <c r="C1821" t="s">
        <v>167</v>
      </c>
      <c r="D1821" t="s">
        <v>133</v>
      </c>
      <c r="E1821" t="s">
        <v>121</v>
      </c>
      <c r="F1821" s="2">
        <v>30</v>
      </c>
    </row>
    <row r="1822" spans="1:6">
      <c r="A1822" s="1">
        <v>43655</v>
      </c>
      <c r="B1822" t="s">
        <v>1968</v>
      </c>
      <c r="C1822" t="s">
        <v>167</v>
      </c>
      <c r="D1822" t="s">
        <v>130</v>
      </c>
      <c r="E1822" t="s">
        <v>134</v>
      </c>
      <c r="F1822" s="2">
        <v>100</v>
      </c>
    </row>
    <row r="1823" spans="1:6">
      <c r="A1823" s="1">
        <v>43655</v>
      </c>
      <c r="B1823" t="s">
        <v>1969</v>
      </c>
      <c r="C1823" t="s">
        <v>143</v>
      </c>
      <c r="D1823" t="s">
        <v>146</v>
      </c>
      <c r="E1823" t="s">
        <v>131</v>
      </c>
      <c r="F1823" s="2">
        <v>50</v>
      </c>
    </row>
    <row r="1824" spans="1:6">
      <c r="A1824" s="1">
        <v>43656</v>
      </c>
      <c r="B1824" t="s">
        <v>1970</v>
      </c>
      <c r="C1824" t="s">
        <v>152</v>
      </c>
      <c r="D1824" t="s">
        <v>120</v>
      </c>
      <c r="E1824" t="s">
        <v>134</v>
      </c>
      <c r="F1824" s="2">
        <v>90</v>
      </c>
    </row>
    <row r="1825" spans="1:6">
      <c r="A1825" s="1">
        <v>43656</v>
      </c>
      <c r="B1825" t="s">
        <v>1971</v>
      </c>
      <c r="C1825" t="s">
        <v>125</v>
      </c>
      <c r="D1825" t="s">
        <v>146</v>
      </c>
      <c r="E1825" t="s">
        <v>153</v>
      </c>
      <c r="F1825" s="2">
        <v>50</v>
      </c>
    </row>
    <row r="1826" spans="1:6">
      <c r="A1826" s="1">
        <v>43656</v>
      </c>
      <c r="B1826" t="s">
        <v>1972</v>
      </c>
      <c r="C1826" t="s">
        <v>136</v>
      </c>
      <c r="D1826" t="s">
        <v>141</v>
      </c>
      <c r="E1826" t="s">
        <v>153</v>
      </c>
      <c r="F1826" s="2">
        <v>180</v>
      </c>
    </row>
    <row r="1827" spans="1:6">
      <c r="A1827" s="1">
        <v>43656</v>
      </c>
      <c r="B1827" t="s">
        <v>1973</v>
      </c>
      <c r="C1827" t="s">
        <v>189</v>
      </c>
      <c r="D1827" t="s">
        <v>133</v>
      </c>
      <c r="E1827" t="s">
        <v>121</v>
      </c>
      <c r="F1827" s="2">
        <v>30</v>
      </c>
    </row>
    <row r="1828" spans="1:6">
      <c r="A1828" s="1">
        <v>43656</v>
      </c>
      <c r="B1828" t="s">
        <v>1974</v>
      </c>
      <c r="C1828" t="s">
        <v>182</v>
      </c>
      <c r="D1828" t="s">
        <v>120</v>
      </c>
      <c r="E1828" t="s">
        <v>153</v>
      </c>
      <c r="F1828" s="2">
        <v>90</v>
      </c>
    </row>
    <row r="1829" spans="1:6">
      <c r="A1829" s="1">
        <v>43656</v>
      </c>
      <c r="B1829" t="s">
        <v>1975</v>
      </c>
      <c r="C1829" t="s">
        <v>223</v>
      </c>
      <c r="D1829" t="s">
        <v>159</v>
      </c>
      <c r="E1829" t="s">
        <v>153</v>
      </c>
      <c r="F1829" s="2">
        <v>150</v>
      </c>
    </row>
    <row r="1830" spans="1:6">
      <c r="A1830" s="1">
        <v>43656</v>
      </c>
      <c r="B1830" t="s">
        <v>1976</v>
      </c>
      <c r="C1830" t="s">
        <v>167</v>
      </c>
      <c r="D1830" t="s">
        <v>141</v>
      </c>
      <c r="E1830" t="s">
        <v>127</v>
      </c>
      <c r="F1830" s="2">
        <v>180</v>
      </c>
    </row>
    <row r="1831" spans="1:6">
      <c r="A1831" s="1">
        <v>43656</v>
      </c>
      <c r="B1831" t="s">
        <v>1977</v>
      </c>
      <c r="C1831" t="s">
        <v>182</v>
      </c>
      <c r="D1831" t="s">
        <v>139</v>
      </c>
      <c r="E1831" t="s">
        <v>131</v>
      </c>
      <c r="F1831" s="2">
        <v>80</v>
      </c>
    </row>
    <row r="1832" spans="1:6">
      <c r="A1832" s="1">
        <v>43656</v>
      </c>
      <c r="B1832" t="s">
        <v>1978</v>
      </c>
      <c r="C1832" t="s">
        <v>189</v>
      </c>
      <c r="D1832" t="s">
        <v>126</v>
      </c>
      <c r="E1832" t="s">
        <v>121</v>
      </c>
      <c r="F1832" s="2">
        <v>160</v>
      </c>
    </row>
    <row r="1833" spans="1:6">
      <c r="A1833" s="1">
        <v>43656</v>
      </c>
      <c r="B1833" t="s">
        <v>1979</v>
      </c>
      <c r="C1833" t="s">
        <v>164</v>
      </c>
      <c r="D1833" t="s">
        <v>146</v>
      </c>
      <c r="E1833" t="s">
        <v>131</v>
      </c>
      <c r="F1833" s="2">
        <v>50</v>
      </c>
    </row>
    <row r="1834" spans="1:6">
      <c r="A1834" s="1">
        <v>43657</v>
      </c>
      <c r="B1834" t="s">
        <v>1980</v>
      </c>
      <c r="C1834" t="s">
        <v>123</v>
      </c>
      <c r="D1834" t="s">
        <v>159</v>
      </c>
      <c r="E1834" t="s">
        <v>134</v>
      </c>
      <c r="F1834" s="2">
        <v>150</v>
      </c>
    </row>
    <row r="1835" spans="1:6">
      <c r="A1835" s="1">
        <v>43657</v>
      </c>
      <c r="B1835" t="s">
        <v>1981</v>
      </c>
      <c r="C1835" t="s">
        <v>145</v>
      </c>
      <c r="D1835" t="s">
        <v>120</v>
      </c>
      <c r="E1835" t="s">
        <v>131</v>
      </c>
      <c r="F1835" s="2">
        <v>90</v>
      </c>
    </row>
    <row r="1836" spans="1:6">
      <c r="A1836" s="1">
        <v>43657</v>
      </c>
      <c r="B1836" t="s">
        <v>1982</v>
      </c>
      <c r="C1836" t="s">
        <v>182</v>
      </c>
      <c r="D1836" t="s">
        <v>130</v>
      </c>
      <c r="E1836" t="s">
        <v>134</v>
      </c>
      <c r="F1836" s="2">
        <v>100</v>
      </c>
    </row>
    <row r="1837" spans="1:6">
      <c r="A1837" s="1">
        <v>43657</v>
      </c>
      <c r="B1837" t="s">
        <v>1983</v>
      </c>
      <c r="C1837" t="s">
        <v>136</v>
      </c>
      <c r="D1837" t="s">
        <v>159</v>
      </c>
      <c r="E1837" t="s">
        <v>127</v>
      </c>
      <c r="F1837" s="2">
        <v>150</v>
      </c>
    </row>
    <row r="1838" spans="1:6">
      <c r="A1838" s="1">
        <v>43657</v>
      </c>
      <c r="B1838" t="s">
        <v>1984</v>
      </c>
      <c r="C1838" t="s">
        <v>187</v>
      </c>
      <c r="D1838" t="s">
        <v>141</v>
      </c>
      <c r="E1838" t="s">
        <v>134</v>
      </c>
      <c r="F1838" s="2">
        <v>180</v>
      </c>
    </row>
    <row r="1839" spans="1:6">
      <c r="A1839" s="1">
        <v>43657</v>
      </c>
      <c r="B1839" t="s">
        <v>1985</v>
      </c>
      <c r="C1839" t="s">
        <v>143</v>
      </c>
      <c r="D1839" t="s">
        <v>120</v>
      </c>
      <c r="E1839" t="s">
        <v>127</v>
      </c>
      <c r="F1839" s="2">
        <v>90</v>
      </c>
    </row>
    <row r="1840" spans="1:6">
      <c r="A1840" s="1">
        <v>43657</v>
      </c>
      <c r="B1840" t="s">
        <v>1986</v>
      </c>
      <c r="C1840" t="s">
        <v>164</v>
      </c>
      <c r="D1840" t="s">
        <v>126</v>
      </c>
      <c r="E1840" t="s">
        <v>153</v>
      </c>
      <c r="F1840" s="2">
        <v>160</v>
      </c>
    </row>
    <row r="1841" spans="1:6">
      <c r="A1841" s="1">
        <v>43657</v>
      </c>
      <c r="B1841" t="s">
        <v>1987</v>
      </c>
      <c r="C1841" t="s">
        <v>145</v>
      </c>
      <c r="D1841" t="s">
        <v>159</v>
      </c>
      <c r="E1841" t="s">
        <v>121</v>
      </c>
      <c r="F1841" s="2">
        <v>150</v>
      </c>
    </row>
    <row r="1842" spans="1:6">
      <c r="A1842" s="1">
        <v>43657</v>
      </c>
      <c r="B1842" t="s">
        <v>1988</v>
      </c>
      <c r="C1842" t="s">
        <v>129</v>
      </c>
      <c r="D1842" t="s">
        <v>146</v>
      </c>
      <c r="E1842" t="s">
        <v>131</v>
      </c>
      <c r="F1842" s="2">
        <v>50</v>
      </c>
    </row>
    <row r="1843" spans="1:6">
      <c r="A1843" s="1">
        <v>43657</v>
      </c>
      <c r="B1843" t="s">
        <v>1989</v>
      </c>
      <c r="C1843" t="s">
        <v>157</v>
      </c>
      <c r="D1843" t="s">
        <v>120</v>
      </c>
      <c r="E1843" t="s">
        <v>153</v>
      </c>
      <c r="F1843" s="2">
        <v>90</v>
      </c>
    </row>
    <row r="1844" spans="1:6">
      <c r="A1844" s="1">
        <v>43658</v>
      </c>
      <c r="B1844" t="s">
        <v>1990</v>
      </c>
      <c r="C1844" t="s">
        <v>129</v>
      </c>
      <c r="D1844" t="s">
        <v>141</v>
      </c>
      <c r="E1844" t="s">
        <v>134</v>
      </c>
      <c r="F1844" s="2">
        <v>180</v>
      </c>
    </row>
    <row r="1845" spans="1:6">
      <c r="A1845" s="1">
        <v>43658</v>
      </c>
      <c r="B1845" t="s">
        <v>1991</v>
      </c>
      <c r="C1845" t="s">
        <v>223</v>
      </c>
      <c r="D1845" t="s">
        <v>120</v>
      </c>
      <c r="E1845" t="s">
        <v>134</v>
      </c>
      <c r="F1845" s="2">
        <v>90</v>
      </c>
    </row>
    <row r="1846" spans="1:6">
      <c r="A1846" s="1">
        <v>43658</v>
      </c>
      <c r="B1846" t="s">
        <v>1992</v>
      </c>
      <c r="C1846" t="s">
        <v>164</v>
      </c>
      <c r="D1846" t="s">
        <v>130</v>
      </c>
      <c r="E1846" t="s">
        <v>134</v>
      </c>
      <c r="F1846" s="2">
        <v>100</v>
      </c>
    </row>
    <row r="1847" spans="1:6">
      <c r="A1847" s="1">
        <v>43658</v>
      </c>
      <c r="B1847" t="s">
        <v>1993</v>
      </c>
      <c r="C1847" t="s">
        <v>138</v>
      </c>
      <c r="D1847" t="s">
        <v>159</v>
      </c>
      <c r="E1847" t="s">
        <v>121</v>
      </c>
      <c r="F1847" s="2">
        <v>150</v>
      </c>
    </row>
    <row r="1848" spans="1:6">
      <c r="A1848" s="1">
        <v>43658</v>
      </c>
      <c r="B1848" t="s">
        <v>1994</v>
      </c>
      <c r="C1848" t="s">
        <v>152</v>
      </c>
      <c r="D1848" t="s">
        <v>133</v>
      </c>
      <c r="E1848" t="s">
        <v>131</v>
      </c>
      <c r="F1848" s="2">
        <v>30</v>
      </c>
    </row>
    <row r="1849" spans="1:6">
      <c r="A1849" s="1">
        <v>43658</v>
      </c>
      <c r="B1849" t="s">
        <v>1995</v>
      </c>
      <c r="C1849" t="s">
        <v>125</v>
      </c>
      <c r="D1849" t="s">
        <v>159</v>
      </c>
      <c r="E1849" t="s">
        <v>134</v>
      </c>
      <c r="F1849" s="2">
        <v>150</v>
      </c>
    </row>
    <row r="1850" spans="1:6">
      <c r="A1850" s="1">
        <v>43658</v>
      </c>
      <c r="B1850" t="s">
        <v>1996</v>
      </c>
      <c r="C1850" t="s">
        <v>138</v>
      </c>
      <c r="D1850" t="s">
        <v>130</v>
      </c>
      <c r="E1850" t="s">
        <v>153</v>
      </c>
      <c r="F1850" s="2">
        <v>100</v>
      </c>
    </row>
    <row r="1851" spans="1:6">
      <c r="A1851" s="1">
        <v>43658</v>
      </c>
      <c r="B1851" t="s">
        <v>1997</v>
      </c>
      <c r="C1851" t="s">
        <v>138</v>
      </c>
      <c r="D1851" t="s">
        <v>141</v>
      </c>
      <c r="E1851" t="s">
        <v>121</v>
      </c>
      <c r="F1851" s="2">
        <v>180</v>
      </c>
    </row>
    <row r="1852" spans="1:6">
      <c r="A1852" s="1">
        <v>43659</v>
      </c>
      <c r="B1852" t="s">
        <v>1998</v>
      </c>
      <c r="C1852" t="s">
        <v>187</v>
      </c>
      <c r="D1852" t="s">
        <v>159</v>
      </c>
      <c r="E1852" t="s">
        <v>131</v>
      </c>
      <c r="F1852" s="2">
        <v>150</v>
      </c>
    </row>
    <row r="1853" spans="1:6">
      <c r="A1853" s="1">
        <v>43659</v>
      </c>
      <c r="B1853" t="s">
        <v>1999</v>
      </c>
      <c r="C1853" t="s">
        <v>167</v>
      </c>
      <c r="D1853" t="s">
        <v>159</v>
      </c>
      <c r="E1853" t="s">
        <v>121</v>
      </c>
      <c r="F1853" s="2">
        <v>150</v>
      </c>
    </row>
    <row r="1854" spans="1:6">
      <c r="A1854" s="1">
        <v>43659</v>
      </c>
      <c r="B1854" t="s">
        <v>2000</v>
      </c>
      <c r="C1854" t="s">
        <v>148</v>
      </c>
      <c r="D1854" t="s">
        <v>120</v>
      </c>
      <c r="E1854" t="s">
        <v>153</v>
      </c>
      <c r="F1854" s="2">
        <v>90</v>
      </c>
    </row>
    <row r="1855" spans="1:6">
      <c r="A1855" s="1">
        <v>43659</v>
      </c>
      <c r="B1855" t="s">
        <v>2001</v>
      </c>
      <c r="C1855" t="s">
        <v>157</v>
      </c>
      <c r="D1855" t="s">
        <v>146</v>
      </c>
      <c r="E1855" t="s">
        <v>134</v>
      </c>
      <c r="F1855" s="2">
        <v>50</v>
      </c>
    </row>
    <row r="1856" spans="1:6">
      <c r="A1856" s="1">
        <v>43659</v>
      </c>
      <c r="B1856" t="s">
        <v>2002</v>
      </c>
      <c r="C1856" t="s">
        <v>164</v>
      </c>
      <c r="D1856" t="s">
        <v>141</v>
      </c>
      <c r="E1856" t="s">
        <v>121</v>
      </c>
      <c r="F1856" s="2">
        <v>180</v>
      </c>
    </row>
    <row r="1857" spans="1:6">
      <c r="A1857" s="1">
        <v>43659</v>
      </c>
      <c r="B1857" t="s">
        <v>2003</v>
      </c>
      <c r="C1857" t="s">
        <v>223</v>
      </c>
      <c r="D1857" t="s">
        <v>126</v>
      </c>
      <c r="E1857" t="s">
        <v>153</v>
      </c>
      <c r="F1857" s="2">
        <v>160</v>
      </c>
    </row>
    <row r="1858" spans="1:6">
      <c r="A1858" s="1">
        <v>43659</v>
      </c>
      <c r="B1858" t="s">
        <v>2004</v>
      </c>
      <c r="C1858" t="s">
        <v>167</v>
      </c>
      <c r="D1858" t="s">
        <v>120</v>
      </c>
      <c r="E1858" t="s">
        <v>127</v>
      </c>
      <c r="F1858" s="2">
        <v>90</v>
      </c>
    </row>
    <row r="1859" spans="1:6">
      <c r="A1859" s="1">
        <v>43659</v>
      </c>
      <c r="B1859" t="s">
        <v>2005</v>
      </c>
      <c r="C1859" t="s">
        <v>189</v>
      </c>
      <c r="D1859" t="s">
        <v>141</v>
      </c>
      <c r="E1859" t="s">
        <v>134</v>
      </c>
      <c r="F1859" s="2">
        <v>180</v>
      </c>
    </row>
    <row r="1860" spans="1:6">
      <c r="A1860" s="1">
        <v>43659</v>
      </c>
      <c r="B1860" t="s">
        <v>2006</v>
      </c>
      <c r="C1860" t="s">
        <v>164</v>
      </c>
      <c r="D1860" t="s">
        <v>126</v>
      </c>
      <c r="E1860" t="s">
        <v>127</v>
      </c>
      <c r="F1860" s="2">
        <v>160</v>
      </c>
    </row>
    <row r="1861" spans="1:6">
      <c r="A1861" s="1">
        <v>43659</v>
      </c>
      <c r="B1861" t="s">
        <v>2007</v>
      </c>
      <c r="C1861" t="s">
        <v>167</v>
      </c>
      <c r="D1861" t="s">
        <v>139</v>
      </c>
      <c r="E1861" t="s">
        <v>134</v>
      </c>
      <c r="F1861" s="2">
        <v>80</v>
      </c>
    </row>
    <row r="1862" spans="1:6">
      <c r="A1862" s="1">
        <v>43659</v>
      </c>
      <c r="B1862" t="s">
        <v>2008</v>
      </c>
      <c r="C1862" t="s">
        <v>143</v>
      </c>
      <c r="D1862" t="s">
        <v>146</v>
      </c>
      <c r="E1862" t="s">
        <v>121</v>
      </c>
      <c r="F1862" s="2">
        <v>50</v>
      </c>
    </row>
    <row r="1863" spans="1:6">
      <c r="A1863" s="1">
        <v>43659</v>
      </c>
      <c r="B1863" t="s">
        <v>2009</v>
      </c>
      <c r="C1863" t="s">
        <v>167</v>
      </c>
      <c r="D1863" t="s">
        <v>159</v>
      </c>
      <c r="E1863" t="s">
        <v>127</v>
      </c>
      <c r="F1863" s="2">
        <v>150</v>
      </c>
    </row>
    <row r="1864" spans="1:6">
      <c r="A1864" s="1">
        <v>43659</v>
      </c>
      <c r="B1864" t="s">
        <v>2010</v>
      </c>
      <c r="C1864" t="s">
        <v>129</v>
      </c>
      <c r="D1864" t="s">
        <v>120</v>
      </c>
      <c r="E1864" t="s">
        <v>131</v>
      </c>
      <c r="F1864" s="2">
        <v>90</v>
      </c>
    </row>
    <row r="1865" spans="1:6">
      <c r="A1865" s="1">
        <v>43659</v>
      </c>
      <c r="B1865" t="s">
        <v>2011</v>
      </c>
      <c r="C1865" t="s">
        <v>125</v>
      </c>
      <c r="D1865" t="s">
        <v>133</v>
      </c>
      <c r="E1865" t="s">
        <v>134</v>
      </c>
      <c r="F1865" s="2">
        <v>30</v>
      </c>
    </row>
    <row r="1866" spans="1:6">
      <c r="A1866" s="1">
        <v>43659</v>
      </c>
      <c r="B1866" t="s">
        <v>2012</v>
      </c>
      <c r="C1866" t="s">
        <v>138</v>
      </c>
      <c r="D1866" t="s">
        <v>159</v>
      </c>
      <c r="E1866" t="s">
        <v>121</v>
      </c>
      <c r="F1866" s="2">
        <v>150</v>
      </c>
    </row>
    <row r="1867" spans="1:6">
      <c r="A1867" s="1">
        <v>43660</v>
      </c>
      <c r="B1867" t="s">
        <v>2013</v>
      </c>
      <c r="C1867" t="s">
        <v>145</v>
      </c>
      <c r="D1867" t="s">
        <v>133</v>
      </c>
      <c r="E1867" t="s">
        <v>131</v>
      </c>
      <c r="F1867" s="2">
        <v>30</v>
      </c>
    </row>
    <row r="1868" spans="1:6">
      <c r="A1868" s="1">
        <v>43660</v>
      </c>
      <c r="B1868" t="s">
        <v>2014</v>
      </c>
      <c r="C1868" t="s">
        <v>164</v>
      </c>
      <c r="D1868" t="s">
        <v>146</v>
      </c>
      <c r="E1868" t="s">
        <v>134</v>
      </c>
      <c r="F1868" s="2">
        <v>50</v>
      </c>
    </row>
    <row r="1869" spans="1:6">
      <c r="A1869" s="1">
        <v>43660</v>
      </c>
      <c r="B1869" t="s">
        <v>2015</v>
      </c>
      <c r="C1869" t="s">
        <v>123</v>
      </c>
      <c r="D1869" t="s">
        <v>130</v>
      </c>
      <c r="E1869" t="s">
        <v>134</v>
      </c>
      <c r="F1869" s="2">
        <v>100</v>
      </c>
    </row>
    <row r="1870" spans="1:6">
      <c r="A1870" s="1">
        <v>43660</v>
      </c>
      <c r="B1870" t="s">
        <v>2016</v>
      </c>
      <c r="C1870" t="s">
        <v>148</v>
      </c>
      <c r="D1870" t="s">
        <v>159</v>
      </c>
      <c r="E1870" t="s">
        <v>134</v>
      </c>
      <c r="F1870" s="2">
        <v>150</v>
      </c>
    </row>
    <row r="1871" spans="1:6">
      <c r="A1871" s="1">
        <v>43660</v>
      </c>
      <c r="B1871" t="s">
        <v>2017</v>
      </c>
      <c r="C1871" t="s">
        <v>148</v>
      </c>
      <c r="D1871" t="s">
        <v>126</v>
      </c>
      <c r="E1871" t="s">
        <v>127</v>
      </c>
      <c r="F1871" s="2">
        <v>160</v>
      </c>
    </row>
    <row r="1872" spans="1:6">
      <c r="A1872" s="1">
        <v>43660</v>
      </c>
      <c r="B1872" t="s">
        <v>2018</v>
      </c>
      <c r="C1872" t="s">
        <v>148</v>
      </c>
      <c r="D1872" t="s">
        <v>141</v>
      </c>
      <c r="E1872" t="s">
        <v>131</v>
      </c>
      <c r="F1872" s="2">
        <v>180</v>
      </c>
    </row>
    <row r="1873" spans="1:6">
      <c r="A1873" s="1">
        <v>43661</v>
      </c>
      <c r="B1873" t="s">
        <v>2019</v>
      </c>
      <c r="C1873" t="s">
        <v>145</v>
      </c>
      <c r="D1873" t="s">
        <v>120</v>
      </c>
      <c r="E1873" t="s">
        <v>121</v>
      </c>
      <c r="F1873" s="2">
        <v>90</v>
      </c>
    </row>
    <row r="1874" spans="1:6">
      <c r="A1874" s="1">
        <v>43661</v>
      </c>
      <c r="B1874" t="s">
        <v>2020</v>
      </c>
      <c r="C1874" t="s">
        <v>145</v>
      </c>
      <c r="D1874" t="s">
        <v>159</v>
      </c>
      <c r="E1874" t="s">
        <v>153</v>
      </c>
      <c r="F1874" s="2">
        <v>150</v>
      </c>
    </row>
    <row r="1875" spans="1:6">
      <c r="A1875" s="1">
        <v>43661</v>
      </c>
      <c r="B1875" t="s">
        <v>2021</v>
      </c>
      <c r="C1875" t="s">
        <v>136</v>
      </c>
      <c r="D1875" t="s">
        <v>139</v>
      </c>
      <c r="E1875" t="s">
        <v>131</v>
      </c>
      <c r="F1875" s="2">
        <v>80</v>
      </c>
    </row>
    <row r="1876" spans="1:6">
      <c r="A1876" s="1">
        <v>43661</v>
      </c>
      <c r="B1876" t="s">
        <v>2022</v>
      </c>
      <c r="C1876" t="s">
        <v>189</v>
      </c>
      <c r="D1876" t="s">
        <v>120</v>
      </c>
      <c r="E1876" t="s">
        <v>121</v>
      </c>
      <c r="F1876" s="2">
        <v>90</v>
      </c>
    </row>
    <row r="1877" spans="1:6">
      <c r="A1877" s="1">
        <v>43661</v>
      </c>
      <c r="B1877" t="s">
        <v>2023</v>
      </c>
      <c r="C1877" t="s">
        <v>148</v>
      </c>
      <c r="D1877" t="s">
        <v>120</v>
      </c>
      <c r="E1877" t="s">
        <v>134</v>
      </c>
      <c r="F1877" s="2">
        <v>90</v>
      </c>
    </row>
    <row r="1878" spans="1:6">
      <c r="A1878" s="1">
        <v>43661</v>
      </c>
      <c r="B1878" t="s">
        <v>2024</v>
      </c>
      <c r="C1878" t="s">
        <v>148</v>
      </c>
      <c r="D1878" t="s">
        <v>133</v>
      </c>
      <c r="E1878" t="s">
        <v>121</v>
      </c>
      <c r="F1878" s="2">
        <v>30</v>
      </c>
    </row>
    <row r="1879" spans="1:6">
      <c r="A1879" s="1">
        <v>43661</v>
      </c>
      <c r="B1879" t="s">
        <v>2025</v>
      </c>
      <c r="C1879" t="s">
        <v>143</v>
      </c>
      <c r="D1879" t="s">
        <v>130</v>
      </c>
      <c r="E1879" t="s">
        <v>127</v>
      </c>
      <c r="F1879" s="2">
        <v>100</v>
      </c>
    </row>
    <row r="1880" spans="1:6">
      <c r="A1880" s="1">
        <v>43661</v>
      </c>
      <c r="B1880" t="s">
        <v>2026</v>
      </c>
      <c r="C1880" t="s">
        <v>189</v>
      </c>
      <c r="D1880" t="s">
        <v>146</v>
      </c>
      <c r="E1880" t="s">
        <v>131</v>
      </c>
      <c r="F1880" s="2">
        <v>50</v>
      </c>
    </row>
    <row r="1881" spans="1:6">
      <c r="A1881" s="1">
        <v>43661</v>
      </c>
      <c r="B1881" t="s">
        <v>2027</v>
      </c>
      <c r="C1881" t="s">
        <v>136</v>
      </c>
      <c r="D1881" t="s">
        <v>146</v>
      </c>
      <c r="E1881" t="s">
        <v>153</v>
      </c>
      <c r="F1881" s="2">
        <v>50</v>
      </c>
    </row>
    <row r="1882" spans="1:6">
      <c r="A1882" s="1">
        <v>43662</v>
      </c>
      <c r="B1882" t="s">
        <v>2028</v>
      </c>
      <c r="C1882" t="s">
        <v>167</v>
      </c>
      <c r="D1882" t="s">
        <v>139</v>
      </c>
      <c r="E1882" t="s">
        <v>121</v>
      </c>
      <c r="F1882" s="2">
        <v>80</v>
      </c>
    </row>
    <row r="1883" spans="1:6">
      <c r="A1883" s="1">
        <v>43662</v>
      </c>
      <c r="B1883" t="s">
        <v>2029</v>
      </c>
      <c r="C1883" t="s">
        <v>148</v>
      </c>
      <c r="D1883" t="s">
        <v>146</v>
      </c>
      <c r="E1883" t="s">
        <v>131</v>
      </c>
      <c r="F1883" s="2">
        <v>50</v>
      </c>
    </row>
    <row r="1884" spans="1:6">
      <c r="A1884" s="1">
        <v>43662</v>
      </c>
      <c r="B1884" t="s">
        <v>2030</v>
      </c>
      <c r="C1884" t="s">
        <v>152</v>
      </c>
      <c r="D1884" t="s">
        <v>120</v>
      </c>
      <c r="E1884" t="s">
        <v>134</v>
      </c>
      <c r="F1884" s="2">
        <v>90</v>
      </c>
    </row>
    <row r="1885" spans="1:6">
      <c r="A1885" s="1">
        <v>43662</v>
      </c>
      <c r="B1885" t="s">
        <v>2031</v>
      </c>
      <c r="C1885" t="s">
        <v>138</v>
      </c>
      <c r="D1885" t="s">
        <v>141</v>
      </c>
      <c r="E1885" t="s">
        <v>153</v>
      </c>
      <c r="F1885" s="2">
        <v>180</v>
      </c>
    </row>
    <row r="1886" spans="1:6">
      <c r="A1886" s="1">
        <v>43662</v>
      </c>
      <c r="B1886" t="s">
        <v>2032</v>
      </c>
      <c r="C1886" t="s">
        <v>167</v>
      </c>
      <c r="D1886" t="s">
        <v>141</v>
      </c>
      <c r="E1886" t="s">
        <v>153</v>
      </c>
      <c r="F1886" s="2">
        <v>180</v>
      </c>
    </row>
    <row r="1887" spans="1:6">
      <c r="A1887" s="1">
        <v>43662</v>
      </c>
      <c r="B1887" t="s">
        <v>2033</v>
      </c>
      <c r="C1887" t="s">
        <v>189</v>
      </c>
      <c r="D1887" t="s">
        <v>133</v>
      </c>
      <c r="E1887" t="s">
        <v>127</v>
      </c>
      <c r="F1887" s="2">
        <v>30</v>
      </c>
    </row>
    <row r="1888" spans="1:6">
      <c r="A1888" s="1">
        <v>43662</v>
      </c>
      <c r="B1888" t="s">
        <v>2034</v>
      </c>
      <c r="C1888" t="s">
        <v>189</v>
      </c>
      <c r="D1888" t="s">
        <v>146</v>
      </c>
      <c r="E1888" t="s">
        <v>127</v>
      </c>
      <c r="F1888" s="2">
        <v>50</v>
      </c>
    </row>
    <row r="1889" spans="1:6">
      <c r="A1889" s="1">
        <v>43662</v>
      </c>
      <c r="B1889" t="s">
        <v>2035</v>
      </c>
      <c r="C1889" t="s">
        <v>157</v>
      </c>
      <c r="D1889" t="s">
        <v>159</v>
      </c>
      <c r="E1889" t="s">
        <v>134</v>
      </c>
      <c r="F1889" s="2">
        <v>150</v>
      </c>
    </row>
    <row r="1890" spans="1:6">
      <c r="A1890" s="1">
        <v>43662</v>
      </c>
      <c r="B1890" t="s">
        <v>2036</v>
      </c>
      <c r="C1890" t="s">
        <v>125</v>
      </c>
      <c r="D1890" t="s">
        <v>139</v>
      </c>
      <c r="E1890" t="s">
        <v>121</v>
      </c>
      <c r="F1890" s="2">
        <v>80</v>
      </c>
    </row>
    <row r="1891" spans="1:6">
      <c r="A1891" s="1">
        <v>43662</v>
      </c>
      <c r="B1891" t="s">
        <v>2037</v>
      </c>
      <c r="C1891" t="s">
        <v>129</v>
      </c>
      <c r="D1891" t="s">
        <v>130</v>
      </c>
      <c r="E1891" t="s">
        <v>127</v>
      </c>
      <c r="F1891" s="2">
        <v>100</v>
      </c>
    </row>
    <row r="1892" spans="1:6">
      <c r="A1892" s="1">
        <v>43662</v>
      </c>
      <c r="B1892" t="s">
        <v>2038</v>
      </c>
      <c r="C1892" t="s">
        <v>123</v>
      </c>
      <c r="D1892" t="s">
        <v>126</v>
      </c>
      <c r="E1892" t="s">
        <v>153</v>
      </c>
      <c r="F1892" s="2">
        <v>160</v>
      </c>
    </row>
    <row r="1893" spans="1:6">
      <c r="A1893" s="1">
        <v>43662</v>
      </c>
      <c r="B1893" t="s">
        <v>2039</v>
      </c>
      <c r="C1893" t="s">
        <v>143</v>
      </c>
      <c r="D1893" t="s">
        <v>141</v>
      </c>
      <c r="E1893" t="s">
        <v>134</v>
      </c>
      <c r="F1893" s="2">
        <v>180</v>
      </c>
    </row>
    <row r="1894" spans="1:6">
      <c r="A1894" s="1">
        <v>43663</v>
      </c>
      <c r="B1894" t="s">
        <v>2040</v>
      </c>
      <c r="C1894" t="s">
        <v>125</v>
      </c>
      <c r="D1894" t="s">
        <v>159</v>
      </c>
      <c r="E1894" t="s">
        <v>134</v>
      </c>
      <c r="F1894" s="2">
        <v>150</v>
      </c>
    </row>
    <row r="1895" spans="1:6">
      <c r="A1895" s="1">
        <v>43663</v>
      </c>
      <c r="B1895" t="s">
        <v>2041</v>
      </c>
      <c r="C1895" t="s">
        <v>143</v>
      </c>
      <c r="D1895" t="s">
        <v>139</v>
      </c>
      <c r="E1895" t="s">
        <v>153</v>
      </c>
      <c r="F1895" s="2">
        <v>80</v>
      </c>
    </row>
    <row r="1896" spans="1:6">
      <c r="A1896" s="1">
        <v>43663</v>
      </c>
      <c r="B1896" t="s">
        <v>2042</v>
      </c>
      <c r="C1896" t="s">
        <v>125</v>
      </c>
      <c r="D1896" t="s">
        <v>141</v>
      </c>
      <c r="E1896" t="s">
        <v>127</v>
      </c>
      <c r="F1896" s="2">
        <v>180</v>
      </c>
    </row>
    <row r="1897" spans="1:6">
      <c r="A1897" s="1">
        <v>43663</v>
      </c>
      <c r="B1897" t="s">
        <v>2043</v>
      </c>
      <c r="C1897" t="s">
        <v>182</v>
      </c>
      <c r="D1897" t="s">
        <v>120</v>
      </c>
      <c r="E1897" t="s">
        <v>134</v>
      </c>
      <c r="F1897" s="2">
        <v>90</v>
      </c>
    </row>
    <row r="1898" spans="1:6">
      <c r="A1898" s="1">
        <v>43663</v>
      </c>
      <c r="B1898" t="s">
        <v>2044</v>
      </c>
      <c r="C1898" t="s">
        <v>125</v>
      </c>
      <c r="D1898" t="s">
        <v>130</v>
      </c>
      <c r="E1898" t="s">
        <v>121</v>
      </c>
      <c r="F1898" s="2">
        <v>100</v>
      </c>
    </row>
    <row r="1899" spans="1:6">
      <c r="A1899" s="1">
        <v>43663</v>
      </c>
      <c r="B1899" t="s">
        <v>2045</v>
      </c>
      <c r="C1899" t="s">
        <v>143</v>
      </c>
      <c r="D1899" t="s">
        <v>141</v>
      </c>
      <c r="E1899" t="s">
        <v>127</v>
      </c>
      <c r="F1899" s="2">
        <v>180</v>
      </c>
    </row>
    <row r="1900" spans="1:6">
      <c r="A1900" s="1">
        <v>43663</v>
      </c>
      <c r="B1900" t="s">
        <v>2046</v>
      </c>
      <c r="C1900" t="s">
        <v>129</v>
      </c>
      <c r="D1900" t="s">
        <v>130</v>
      </c>
      <c r="E1900" t="s">
        <v>121</v>
      </c>
      <c r="F1900" s="2">
        <v>100</v>
      </c>
    </row>
    <row r="1901" spans="1:6">
      <c r="A1901" s="1">
        <v>43663</v>
      </c>
      <c r="B1901" t="s">
        <v>2047</v>
      </c>
      <c r="C1901" t="s">
        <v>189</v>
      </c>
      <c r="D1901" t="s">
        <v>141</v>
      </c>
      <c r="E1901" t="s">
        <v>134</v>
      </c>
      <c r="F1901" s="2">
        <v>180</v>
      </c>
    </row>
    <row r="1902" spans="1:6">
      <c r="A1902" s="1">
        <v>43664</v>
      </c>
      <c r="B1902" t="s">
        <v>2048</v>
      </c>
      <c r="C1902" t="s">
        <v>119</v>
      </c>
      <c r="D1902" t="s">
        <v>159</v>
      </c>
      <c r="E1902" t="s">
        <v>134</v>
      </c>
      <c r="F1902" s="2">
        <v>150</v>
      </c>
    </row>
    <row r="1903" spans="1:6">
      <c r="A1903" s="1">
        <v>43664</v>
      </c>
      <c r="B1903" t="s">
        <v>2049</v>
      </c>
      <c r="C1903" t="s">
        <v>138</v>
      </c>
      <c r="D1903" t="s">
        <v>130</v>
      </c>
      <c r="E1903" t="s">
        <v>153</v>
      </c>
      <c r="F1903" s="2">
        <v>100</v>
      </c>
    </row>
    <row r="1904" spans="1:6">
      <c r="A1904" s="1">
        <v>43664</v>
      </c>
      <c r="B1904" t="s">
        <v>2050</v>
      </c>
      <c r="C1904" t="s">
        <v>119</v>
      </c>
      <c r="D1904" t="s">
        <v>120</v>
      </c>
      <c r="E1904" t="s">
        <v>153</v>
      </c>
      <c r="F1904" s="2">
        <v>90</v>
      </c>
    </row>
    <row r="1905" spans="1:6">
      <c r="A1905" s="1">
        <v>43664</v>
      </c>
      <c r="B1905" t="s">
        <v>2051</v>
      </c>
      <c r="C1905" t="s">
        <v>182</v>
      </c>
      <c r="D1905" t="s">
        <v>120</v>
      </c>
      <c r="E1905" t="s">
        <v>121</v>
      </c>
      <c r="F1905" s="2">
        <v>90</v>
      </c>
    </row>
    <row r="1906" spans="1:6">
      <c r="A1906" s="1">
        <v>43664</v>
      </c>
      <c r="B1906" t="s">
        <v>2052</v>
      </c>
      <c r="C1906" t="s">
        <v>157</v>
      </c>
      <c r="D1906" t="s">
        <v>146</v>
      </c>
      <c r="E1906" t="s">
        <v>134</v>
      </c>
      <c r="F1906" s="2">
        <v>50</v>
      </c>
    </row>
    <row r="1907" spans="1:6">
      <c r="A1907" s="1">
        <v>43664</v>
      </c>
      <c r="B1907" t="s">
        <v>2053</v>
      </c>
      <c r="C1907" t="s">
        <v>187</v>
      </c>
      <c r="D1907" t="s">
        <v>120</v>
      </c>
      <c r="E1907" t="s">
        <v>131</v>
      </c>
      <c r="F1907" s="2">
        <v>90</v>
      </c>
    </row>
    <row r="1908" spans="1:6">
      <c r="A1908" s="1">
        <v>43664</v>
      </c>
      <c r="B1908" t="s">
        <v>2054</v>
      </c>
      <c r="C1908" t="s">
        <v>164</v>
      </c>
      <c r="D1908" t="s">
        <v>130</v>
      </c>
      <c r="E1908" t="s">
        <v>134</v>
      </c>
      <c r="F1908" s="2">
        <v>100</v>
      </c>
    </row>
    <row r="1909" spans="1:6">
      <c r="A1909" s="1">
        <v>43664</v>
      </c>
      <c r="B1909" t="s">
        <v>2055</v>
      </c>
      <c r="C1909" t="s">
        <v>129</v>
      </c>
      <c r="D1909" t="s">
        <v>126</v>
      </c>
      <c r="E1909" t="s">
        <v>121</v>
      </c>
      <c r="F1909" s="2">
        <v>160</v>
      </c>
    </row>
    <row r="1910" spans="1:6">
      <c r="A1910" s="1">
        <v>43664</v>
      </c>
      <c r="B1910" t="s">
        <v>2056</v>
      </c>
      <c r="C1910" t="s">
        <v>152</v>
      </c>
      <c r="D1910" t="s">
        <v>146</v>
      </c>
      <c r="E1910" t="s">
        <v>127</v>
      </c>
      <c r="F1910" s="2">
        <v>50</v>
      </c>
    </row>
    <row r="1911" spans="1:6">
      <c r="A1911" s="1">
        <v>43664</v>
      </c>
      <c r="B1911" t="s">
        <v>2057</v>
      </c>
      <c r="C1911" t="s">
        <v>125</v>
      </c>
      <c r="D1911" t="s">
        <v>120</v>
      </c>
      <c r="E1911" t="s">
        <v>121</v>
      </c>
      <c r="F1911" s="2">
        <v>90</v>
      </c>
    </row>
    <row r="1912" spans="1:6">
      <c r="A1912" s="1">
        <v>43664</v>
      </c>
      <c r="B1912" t="s">
        <v>2058</v>
      </c>
      <c r="C1912" t="s">
        <v>157</v>
      </c>
      <c r="D1912" t="s">
        <v>126</v>
      </c>
      <c r="E1912" t="s">
        <v>153</v>
      </c>
      <c r="F1912" s="2">
        <v>160</v>
      </c>
    </row>
    <row r="1913" spans="1:6">
      <c r="A1913" s="1">
        <v>43664</v>
      </c>
      <c r="B1913" t="s">
        <v>2059</v>
      </c>
      <c r="C1913" t="s">
        <v>148</v>
      </c>
      <c r="D1913" t="s">
        <v>146</v>
      </c>
      <c r="E1913" t="s">
        <v>127</v>
      </c>
      <c r="F1913" s="2">
        <v>50</v>
      </c>
    </row>
    <row r="1914" spans="1:6">
      <c r="A1914" s="1">
        <v>43665</v>
      </c>
      <c r="B1914" t="s">
        <v>2060</v>
      </c>
      <c r="C1914" t="s">
        <v>138</v>
      </c>
      <c r="D1914" t="s">
        <v>126</v>
      </c>
      <c r="E1914" t="s">
        <v>134</v>
      </c>
      <c r="F1914" s="2">
        <v>160</v>
      </c>
    </row>
    <row r="1915" spans="1:6">
      <c r="A1915" s="1">
        <v>43665</v>
      </c>
      <c r="B1915" t="s">
        <v>2061</v>
      </c>
      <c r="C1915" t="s">
        <v>157</v>
      </c>
      <c r="D1915" t="s">
        <v>141</v>
      </c>
      <c r="E1915" t="s">
        <v>127</v>
      </c>
      <c r="F1915" s="2">
        <v>180</v>
      </c>
    </row>
    <row r="1916" spans="1:6">
      <c r="A1916" s="1">
        <v>43665</v>
      </c>
      <c r="B1916" t="s">
        <v>2062</v>
      </c>
      <c r="C1916" t="s">
        <v>123</v>
      </c>
      <c r="D1916" t="s">
        <v>139</v>
      </c>
      <c r="E1916" t="s">
        <v>153</v>
      </c>
      <c r="F1916" s="2">
        <v>80</v>
      </c>
    </row>
    <row r="1917" spans="1:6">
      <c r="A1917" s="1">
        <v>43665</v>
      </c>
      <c r="B1917" t="s">
        <v>2063</v>
      </c>
      <c r="C1917" t="s">
        <v>167</v>
      </c>
      <c r="D1917" t="s">
        <v>159</v>
      </c>
      <c r="E1917" t="s">
        <v>134</v>
      </c>
      <c r="F1917" s="2">
        <v>150</v>
      </c>
    </row>
    <row r="1918" spans="1:6">
      <c r="A1918" s="1">
        <v>43665</v>
      </c>
      <c r="B1918" t="s">
        <v>2064</v>
      </c>
      <c r="C1918" t="s">
        <v>129</v>
      </c>
      <c r="D1918" t="s">
        <v>139</v>
      </c>
      <c r="E1918" t="s">
        <v>134</v>
      </c>
      <c r="F1918" s="2">
        <v>80</v>
      </c>
    </row>
    <row r="1919" spans="1:6">
      <c r="A1919" s="1">
        <v>43666</v>
      </c>
      <c r="B1919" t="s">
        <v>2065</v>
      </c>
      <c r="C1919" t="s">
        <v>136</v>
      </c>
      <c r="D1919" t="s">
        <v>130</v>
      </c>
      <c r="E1919" t="s">
        <v>134</v>
      </c>
      <c r="F1919" s="2">
        <v>100</v>
      </c>
    </row>
    <row r="1920" spans="1:6">
      <c r="A1920" s="1">
        <v>43666</v>
      </c>
      <c r="B1920" t="s">
        <v>2066</v>
      </c>
      <c r="C1920" t="s">
        <v>164</v>
      </c>
      <c r="D1920" t="s">
        <v>159</v>
      </c>
      <c r="E1920" t="s">
        <v>153</v>
      </c>
      <c r="F1920" s="2">
        <v>150</v>
      </c>
    </row>
    <row r="1921" spans="1:6">
      <c r="A1921" s="1">
        <v>43666</v>
      </c>
      <c r="B1921" t="s">
        <v>2067</v>
      </c>
      <c r="C1921" t="s">
        <v>182</v>
      </c>
      <c r="D1921" t="s">
        <v>159</v>
      </c>
      <c r="E1921" t="s">
        <v>127</v>
      </c>
      <c r="F1921" s="2">
        <v>150</v>
      </c>
    </row>
    <row r="1922" spans="1:6">
      <c r="A1922" s="1">
        <v>43666</v>
      </c>
      <c r="B1922" t="s">
        <v>2068</v>
      </c>
      <c r="C1922" t="s">
        <v>125</v>
      </c>
      <c r="D1922" t="s">
        <v>146</v>
      </c>
      <c r="E1922" t="s">
        <v>134</v>
      </c>
      <c r="F1922" s="2">
        <v>50</v>
      </c>
    </row>
    <row r="1923" spans="1:6">
      <c r="A1923" s="1">
        <v>43666</v>
      </c>
      <c r="B1923" t="s">
        <v>2069</v>
      </c>
      <c r="C1923" t="s">
        <v>157</v>
      </c>
      <c r="D1923" t="s">
        <v>126</v>
      </c>
      <c r="E1923" t="s">
        <v>153</v>
      </c>
      <c r="F1923" s="2">
        <v>160</v>
      </c>
    </row>
    <row r="1924" spans="1:6">
      <c r="A1924" s="1">
        <v>43666</v>
      </c>
      <c r="B1924" t="s">
        <v>2070</v>
      </c>
      <c r="C1924" t="s">
        <v>123</v>
      </c>
      <c r="D1924" t="s">
        <v>120</v>
      </c>
      <c r="E1924" t="s">
        <v>134</v>
      </c>
      <c r="F1924" s="2">
        <v>90</v>
      </c>
    </row>
    <row r="1925" spans="1:6">
      <c r="A1925" s="1">
        <v>43667</v>
      </c>
      <c r="B1925" t="s">
        <v>2071</v>
      </c>
      <c r="C1925" t="s">
        <v>125</v>
      </c>
      <c r="D1925" t="s">
        <v>146</v>
      </c>
      <c r="E1925" t="s">
        <v>131</v>
      </c>
      <c r="F1925" s="2">
        <v>50</v>
      </c>
    </row>
    <row r="1926" spans="1:6">
      <c r="A1926" s="1">
        <v>43667</v>
      </c>
      <c r="B1926" t="s">
        <v>2072</v>
      </c>
      <c r="C1926" t="s">
        <v>129</v>
      </c>
      <c r="D1926" t="s">
        <v>126</v>
      </c>
      <c r="E1926" t="s">
        <v>121</v>
      </c>
      <c r="F1926" s="2">
        <v>160</v>
      </c>
    </row>
    <row r="1927" spans="1:6">
      <c r="A1927" s="1">
        <v>43667</v>
      </c>
      <c r="B1927" t="s">
        <v>2073</v>
      </c>
      <c r="C1927" t="s">
        <v>182</v>
      </c>
      <c r="D1927" t="s">
        <v>133</v>
      </c>
      <c r="E1927" t="s">
        <v>153</v>
      </c>
      <c r="F1927" s="2">
        <v>30</v>
      </c>
    </row>
    <row r="1928" spans="1:6">
      <c r="A1928" s="1">
        <v>43667</v>
      </c>
      <c r="B1928" t="s">
        <v>2074</v>
      </c>
      <c r="C1928" t="s">
        <v>164</v>
      </c>
      <c r="D1928" t="s">
        <v>130</v>
      </c>
      <c r="E1928" t="s">
        <v>134</v>
      </c>
      <c r="F1928" s="2">
        <v>100</v>
      </c>
    </row>
    <row r="1929" spans="1:6">
      <c r="A1929" s="1">
        <v>43667</v>
      </c>
      <c r="B1929" t="s">
        <v>2075</v>
      </c>
      <c r="C1929" t="s">
        <v>189</v>
      </c>
      <c r="D1929" t="s">
        <v>159</v>
      </c>
      <c r="E1929" t="s">
        <v>121</v>
      </c>
      <c r="F1929" s="2">
        <v>150</v>
      </c>
    </row>
    <row r="1930" spans="1:6">
      <c r="A1930" s="1">
        <v>43667</v>
      </c>
      <c r="B1930" t="s">
        <v>2076</v>
      </c>
      <c r="C1930" t="s">
        <v>123</v>
      </c>
      <c r="D1930" t="s">
        <v>126</v>
      </c>
      <c r="E1930" t="s">
        <v>121</v>
      </c>
      <c r="F1930" s="2">
        <v>160</v>
      </c>
    </row>
    <row r="1931" spans="1:6">
      <c r="A1931" s="1">
        <v>43667</v>
      </c>
      <c r="B1931" t="s">
        <v>2077</v>
      </c>
      <c r="C1931" t="s">
        <v>129</v>
      </c>
      <c r="D1931" t="s">
        <v>126</v>
      </c>
      <c r="E1931" t="s">
        <v>153</v>
      </c>
      <c r="F1931" s="2">
        <v>160</v>
      </c>
    </row>
    <row r="1932" spans="1:6">
      <c r="A1932" s="1">
        <v>43667</v>
      </c>
      <c r="B1932" t="s">
        <v>2078</v>
      </c>
      <c r="C1932" t="s">
        <v>157</v>
      </c>
      <c r="D1932" t="s">
        <v>159</v>
      </c>
      <c r="E1932" t="s">
        <v>127</v>
      </c>
      <c r="F1932" s="2">
        <v>150</v>
      </c>
    </row>
    <row r="1933" spans="1:6">
      <c r="A1933" s="1">
        <v>43667</v>
      </c>
      <c r="B1933" t="s">
        <v>2079</v>
      </c>
      <c r="C1933" t="s">
        <v>152</v>
      </c>
      <c r="D1933" t="s">
        <v>139</v>
      </c>
      <c r="E1933" t="s">
        <v>134</v>
      </c>
      <c r="F1933" s="2">
        <v>80</v>
      </c>
    </row>
    <row r="1934" spans="1:6">
      <c r="A1934" s="1">
        <v>43667</v>
      </c>
      <c r="B1934" t="s">
        <v>2080</v>
      </c>
      <c r="C1934" t="s">
        <v>119</v>
      </c>
      <c r="D1934" t="s">
        <v>126</v>
      </c>
      <c r="E1934" t="s">
        <v>131</v>
      </c>
      <c r="F1934" s="2">
        <v>160</v>
      </c>
    </row>
    <row r="1935" spans="1:6">
      <c r="A1935" s="1">
        <v>43667</v>
      </c>
      <c r="B1935" t="s">
        <v>2081</v>
      </c>
      <c r="C1935" t="s">
        <v>123</v>
      </c>
      <c r="D1935" t="s">
        <v>126</v>
      </c>
      <c r="E1935" t="s">
        <v>121</v>
      </c>
      <c r="F1935" s="2">
        <v>160</v>
      </c>
    </row>
    <row r="1936" spans="1:6">
      <c r="A1936" s="1">
        <v>43667</v>
      </c>
      <c r="B1936" t="s">
        <v>2082</v>
      </c>
      <c r="C1936" t="s">
        <v>187</v>
      </c>
      <c r="D1936" t="s">
        <v>120</v>
      </c>
      <c r="E1936" t="s">
        <v>131</v>
      </c>
      <c r="F1936" s="2">
        <v>90</v>
      </c>
    </row>
    <row r="1937" spans="1:6">
      <c r="A1937" s="1">
        <v>43668</v>
      </c>
      <c r="B1937" t="s">
        <v>2083</v>
      </c>
      <c r="C1937" t="s">
        <v>125</v>
      </c>
      <c r="D1937" t="s">
        <v>130</v>
      </c>
      <c r="E1937" t="s">
        <v>127</v>
      </c>
      <c r="F1937" s="2">
        <v>100</v>
      </c>
    </row>
    <row r="1938" spans="1:6">
      <c r="A1938" s="1">
        <v>43668</v>
      </c>
      <c r="B1938" t="s">
        <v>2084</v>
      </c>
      <c r="C1938" t="s">
        <v>164</v>
      </c>
      <c r="D1938" t="s">
        <v>120</v>
      </c>
      <c r="E1938" t="s">
        <v>134</v>
      </c>
      <c r="F1938" s="2">
        <v>90</v>
      </c>
    </row>
    <row r="1939" spans="1:6">
      <c r="A1939" s="1">
        <v>43668</v>
      </c>
      <c r="B1939" t="s">
        <v>2085</v>
      </c>
      <c r="C1939" t="s">
        <v>187</v>
      </c>
      <c r="D1939" t="s">
        <v>120</v>
      </c>
      <c r="E1939" t="s">
        <v>153</v>
      </c>
      <c r="F1939" s="2">
        <v>90</v>
      </c>
    </row>
    <row r="1940" spans="1:6">
      <c r="A1940" s="1">
        <v>43668</v>
      </c>
      <c r="B1940" t="s">
        <v>2086</v>
      </c>
      <c r="C1940" t="s">
        <v>152</v>
      </c>
      <c r="D1940" t="s">
        <v>159</v>
      </c>
      <c r="E1940" t="s">
        <v>127</v>
      </c>
      <c r="F1940" s="2">
        <v>150</v>
      </c>
    </row>
    <row r="1941" spans="1:6">
      <c r="A1941" s="1">
        <v>43668</v>
      </c>
      <c r="B1941" t="s">
        <v>2087</v>
      </c>
      <c r="C1941" t="s">
        <v>145</v>
      </c>
      <c r="D1941" t="s">
        <v>120</v>
      </c>
      <c r="E1941" t="s">
        <v>131</v>
      </c>
      <c r="F1941" s="2">
        <v>90</v>
      </c>
    </row>
    <row r="1942" spans="1:6">
      <c r="A1942" s="1">
        <v>43668</v>
      </c>
      <c r="B1942" t="s">
        <v>2088</v>
      </c>
      <c r="C1942" t="s">
        <v>143</v>
      </c>
      <c r="D1942" t="s">
        <v>139</v>
      </c>
      <c r="E1942" t="s">
        <v>127</v>
      </c>
      <c r="F1942" s="2">
        <v>80</v>
      </c>
    </row>
    <row r="1943" spans="1:6">
      <c r="A1943" s="1">
        <v>43668</v>
      </c>
      <c r="B1943" t="s">
        <v>2089</v>
      </c>
      <c r="C1943" t="s">
        <v>167</v>
      </c>
      <c r="D1943" t="s">
        <v>133</v>
      </c>
      <c r="E1943" t="s">
        <v>127</v>
      </c>
      <c r="F1943" s="2">
        <v>30</v>
      </c>
    </row>
    <row r="1944" spans="1:6">
      <c r="A1944" s="1">
        <v>43668</v>
      </c>
      <c r="B1944" t="s">
        <v>2090</v>
      </c>
      <c r="C1944" t="s">
        <v>145</v>
      </c>
      <c r="D1944" t="s">
        <v>120</v>
      </c>
      <c r="E1944" t="s">
        <v>127</v>
      </c>
      <c r="F1944" s="2">
        <v>90</v>
      </c>
    </row>
    <row r="1945" spans="1:6">
      <c r="A1945" s="1">
        <v>43668</v>
      </c>
      <c r="B1945" t="s">
        <v>2091</v>
      </c>
      <c r="C1945" t="s">
        <v>148</v>
      </c>
      <c r="D1945" t="s">
        <v>130</v>
      </c>
      <c r="E1945" t="s">
        <v>131</v>
      </c>
      <c r="F1945" s="2">
        <v>100</v>
      </c>
    </row>
    <row r="1946" spans="1:6">
      <c r="A1946" s="1">
        <v>43668</v>
      </c>
      <c r="B1946" t="s">
        <v>2092</v>
      </c>
      <c r="C1946" t="s">
        <v>129</v>
      </c>
      <c r="D1946" t="s">
        <v>120</v>
      </c>
      <c r="E1946" t="s">
        <v>121</v>
      </c>
      <c r="F1946" s="2">
        <v>90</v>
      </c>
    </row>
    <row r="1947" spans="1:6">
      <c r="A1947" s="1">
        <v>43669</v>
      </c>
      <c r="B1947" t="s">
        <v>2093</v>
      </c>
      <c r="C1947" t="s">
        <v>157</v>
      </c>
      <c r="D1947" t="s">
        <v>130</v>
      </c>
      <c r="E1947" t="s">
        <v>153</v>
      </c>
      <c r="F1947" s="2">
        <v>100</v>
      </c>
    </row>
    <row r="1948" spans="1:6">
      <c r="A1948" s="1">
        <v>43669</v>
      </c>
      <c r="B1948" t="s">
        <v>2094</v>
      </c>
      <c r="C1948" t="s">
        <v>129</v>
      </c>
      <c r="D1948" t="s">
        <v>146</v>
      </c>
      <c r="E1948" t="s">
        <v>134</v>
      </c>
      <c r="F1948" s="2">
        <v>50</v>
      </c>
    </row>
    <row r="1949" spans="1:6">
      <c r="A1949" s="1">
        <v>43669</v>
      </c>
      <c r="B1949" t="s">
        <v>2095</v>
      </c>
      <c r="C1949" t="s">
        <v>123</v>
      </c>
      <c r="D1949" t="s">
        <v>130</v>
      </c>
      <c r="E1949" t="s">
        <v>153</v>
      </c>
      <c r="F1949" s="2">
        <v>100</v>
      </c>
    </row>
    <row r="1950" spans="1:6">
      <c r="A1950" s="1">
        <v>43669</v>
      </c>
      <c r="B1950" t="s">
        <v>2096</v>
      </c>
      <c r="C1950" t="s">
        <v>143</v>
      </c>
      <c r="D1950" t="s">
        <v>126</v>
      </c>
      <c r="E1950" t="s">
        <v>131</v>
      </c>
      <c r="F1950" s="2">
        <v>160</v>
      </c>
    </row>
    <row r="1951" spans="1:6">
      <c r="A1951" s="1">
        <v>43669</v>
      </c>
      <c r="B1951" t="s">
        <v>2097</v>
      </c>
      <c r="C1951" t="s">
        <v>119</v>
      </c>
      <c r="D1951" t="s">
        <v>139</v>
      </c>
      <c r="E1951" t="s">
        <v>134</v>
      </c>
      <c r="F1951" s="2">
        <v>80</v>
      </c>
    </row>
    <row r="1952" spans="1:6">
      <c r="A1952" s="1">
        <v>43669</v>
      </c>
      <c r="B1952" t="s">
        <v>2098</v>
      </c>
      <c r="C1952" t="s">
        <v>182</v>
      </c>
      <c r="D1952" t="s">
        <v>126</v>
      </c>
      <c r="E1952" t="s">
        <v>131</v>
      </c>
      <c r="F1952" s="2">
        <v>160</v>
      </c>
    </row>
    <row r="1953" spans="1:6">
      <c r="A1953" s="1">
        <v>43669</v>
      </c>
      <c r="B1953" t="s">
        <v>2099</v>
      </c>
      <c r="C1953" t="s">
        <v>125</v>
      </c>
      <c r="D1953" t="s">
        <v>159</v>
      </c>
      <c r="E1953" t="s">
        <v>153</v>
      </c>
      <c r="F1953" s="2">
        <v>150</v>
      </c>
    </row>
    <row r="1954" spans="1:6">
      <c r="A1954" s="1">
        <v>43669</v>
      </c>
      <c r="B1954" t="s">
        <v>2100</v>
      </c>
      <c r="C1954" t="s">
        <v>182</v>
      </c>
      <c r="D1954" t="s">
        <v>139</v>
      </c>
      <c r="E1954" t="s">
        <v>134</v>
      </c>
      <c r="F1954" s="2">
        <v>80</v>
      </c>
    </row>
    <row r="1955" spans="1:6">
      <c r="A1955" s="1">
        <v>43670</v>
      </c>
      <c r="B1955" t="s">
        <v>2101</v>
      </c>
      <c r="C1955" t="s">
        <v>182</v>
      </c>
      <c r="D1955" t="s">
        <v>139</v>
      </c>
      <c r="E1955" t="s">
        <v>121</v>
      </c>
      <c r="F1955" s="2">
        <v>80</v>
      </c>
    </row>
    <row r="1956" spans="1:6">
      <c r="A1956" s="1">
        <v>43670</v>
      </c>
      <c r="B1956" t="s">
        <v>2102</v>
      </c>
      <c r="C1956" t="s">
        <v>182</v>
      </c>
      <c r="D1956" t="s">
        <v>139</v>
      </c>
      <c r="E1956" t="s">
        <v>121</v>
      </c>
      <c r="F1956" s="2">
        <v>80</v>
      </c>
    </row>
    <row r="1957" spans="1:6">
      <c r="A1957" s="1">
        <v>43670</v>
      </c>
      <c r="B1957" t="s">
        <v>2103</v>
      </c>
      <c r="C1957" t="s">
        <v>143</v>
      </c>
      <c r="D1957" t="s">
        <v>126</v>
      </c>
      <c r="E1957" t="s">
        <v>134</v>
      </c>
      <c r="F1957" s="2">
        <v>160</v>
      </c>
    </row>
    <row r="1958" spans="1:6">
      <c r="A1958" s="1">
        <v>43670</v>
      </c>
      <c r="B1958" t="s">
        <v>2104</v>
      </c>
      <c r="C1958" t="s">
        <v>152</v>
      </c>
      <c r="D1958" t="s">
        <v>130</v>
      </c>
      <c r="E1958" t="s">
        <v>127</v>
      </c>
      <c r="F1958" s="2">
        <v>100</v>
      </c>
    </row>
    <row r="1959" spans="1:6">
      <c r="A1959" s="1">
        <v>43670</v>
      </c>
      <c r="B1959" t="s">
        <v>2105</v>
      </c>
      <c r="C1959" t="s">
        <v>119</v>
      </c>
      <c r="D1959" t="s">
        <v>133</v>
      </c>
      <c r="E1959" t="s">
        <v>127</v>
      </c>
      <c r="F1959" s="2">
        <v>30</v>
      </c>
    </row>
    <row r="1960" spans="1:6">
      <c r="A1960" s="1">
        <v>43670</v>
      </c>
      <c r="B1960" t="s">
        <v>2106</v>
      </c>
      <c r="C1960" t="s">
        <v>164</v>
      </c>
      <c r="D1960" t="s">
        <v>146</v>
      </c>
      <c r="E1960" t="s">
        <v>127</v>
      </c>
      <c r="F1960" s="2">
        <v>50</v>
      </c>
    </row>
    <row r="1961" spans="1:6">
      <c r="A1961" s="1">
        <v>43670</v>
      </c>
      <c r="B1961" t="s">
        <v>2107</v>
      </c>
      <c r="C1961" t="s">
        <v>129</v>
      </c>
      <c r="D1961" t="s">
        <v>120</v>
      </c>
      <c r="E1961" t="s">
        <v>121</v>
      </c>
      <c r="F1961" s="2">
        <v>90</v>
      </c>
    </row>
    <row r="1962" spans="1:6">
      <c r="A1962" s="1">
        <v>43670</v>
      </c>
      <c r="B1962" t="s">
        <v>2108</v>
      </c>
      <c r="C1962" t="s">
        <v>143</v>
      </c>
      <c r="D1962" t="s">
        <v>130</v>
      </c>
      <c r="E1962" t="s">
        <v>153</v>
      </c>
      <c r="F1962" s="2">
        <v>100</v>
      </c>
    </row>
    <row r="1963" spans="1:6">
      <c r="A1963" s="1">
        <v>43670</v>
      </c>
      <c r="B1963" t="s">
        <v>2109</v>
      </c>
      <c r="C1963" t="s">
        <v>145</v>
      </c>
      <c r="D1963" t="s">
        <v>159</v>
      </c>
      <c r="E1963" t="s">
        <v>134</v>
      </c>
      <c r="F1963" s="2">
        <v>150</v>
      </c>
    </row>
    <row r="1964" spans="1:6">
      <c r="A1964" s="1">
        <v>43671</v>
      </c>
      <c r="B1964" t="s">
        <v>2110</v>
      </c>
      <c r="C1964" t="s">
        <v>187</v>
      </c>
      <c r="D1964" t="s">
        <v>133</v>
      </c>
      <c r="E1964" t="s">
        <v>153</v>
      </c>
      <c r="F1964" s="2">
        <v>30</v>
      </c>
    </row>
    <row r="1965" spans="1:6">
      <c r="A1965" s="1">
        <v>43671</v>
      </c>
      <c r="B1965" t="s">
        <v>2111</v>
      </c>
      <c r="C1965" t="s">
        <v>136</v>
      </c>
      <c r="D1965" t="s">
        <v>141</v>
      </c>
      <c r="E1965" t="s">
        <v>134</v>
      </c>
      <c r="F1965" s="2">
        <v>180</v>
      </c>
    </row>
    <row r="1966" spans="1:6">
      <c r="A1966" s="1">
        <v>43671</v>
      </c>
      <c r="B1966" t="s">
        <v>2112</v>
      </c>
      <c r="C1966" t="s">
        <v>182</v>
      </c>
      <c r="D1966" t="s">
        <v>133</v>
      </c>
      <c r="E1966" t="s">
        <v>134</v>
      </c>
      <c r="F1966" s="2">
        <v>30</v>
      </c>
    </row>
    <row r="1967" spans="1:6">
      <c r="A1967" s="1">
        <v>43671</v>
      </c>
      <c r="B1967" t="s">
        <v>2113</v>
      </c>
      <c r="C1967" t="s">
        <v>143</v>
      </c>
      <c r="D1967" t="s">
        <v>126</v>
      </c>
      <c r="E1967" t="s">
        <v>153</v>
      </c>
      <c r="F1967" s="2">
        <v>160</v>
      </c>
    </row>
    <row r="1968" spans="1:6">
      <c r="A1968" s="1">
        <v>43671</v>
      </c>
      <c r="B1968" t="s">
        <v>2114</v>
      </c>
      <c r="C1968" t="s">
        <v>125</v>
      </c>
      <c r="D1968" t="s">
        <v>120</v>
      </c>
      <c r="E1968" t="s">
        <v>121</v>
      </c>
      <c r="F1968" s="2">
        <v>90</v>
      </c>
    </row>
    <row r="1969" spans="1:6">
      <c r="A1969" s="1">
        <v>43671</v>
      </c>
      <c r="B1969" t="s">
        <v>2115</v>
      </c>
      <c r="C1969" t="s">
        <v>157</v>
      </c>
      <c r="D1969" t="s">
        <v>130</v>
      </c>
      <c r="E1969" t="s">
        <v>153</v>
      </c>
      <c r="F1969" s="2">
        <v>100</v>
      </c>
    </row>
    <row r="1970" spans="1:6">
      <c r="A1970" s="1">
        <v>43671</v>
      </c>
      <c r="B1970" t="s">
        <v>2116</v>
      </c>
      <c r="C1970" t="s">
        <v>119</v>
      </c>
      <c r="D1970" t="s">
        <v>139</v>
      </c>
      <c r="E1970" t="s">
        <v>153</v>
      </c>
      <c r="F1970" s="2">
        <v>80</v>
      </c>
    </row>
    <row r="1971" spans="1:6">
      <c r="A1971" s="1">
        <v>43671</v>
      </c>
      <c r="B1971" t="s">
        <v>2117</v>
      </c>
      <c r="C1971" t="s">
        <v>167</v>
      </c>
      <c r="D1971" t="s">
        <v>133</v>
      </c>
      <c r="E1971" t="s">
        <v>131</v>
      </c>
      <c r="F1971" s="2">
        <v>30</v>
      </c>
    </row>
    <row r="1972" spans="1:6">
      <c r="A1972" s="1">
        <v>43671</v>
      </c>
      <c r="B1972" t="s">
        <v>2118</v>
      </c>
      <c r="C1972" t="s">
        <v>157</v>
      </c>
      <c r="D1972" t="s">
        <v>146</v>
      </c>
      <c r="E1972" t="s">
        <v>127</v>
      </c>
      <c r="F1972" s="2">
        <v>50</v>
      </c>
    </row>
    <row r="1973" spans="1:6">
      <c r="A1973" s="1">
        <v>43671</v>
      </c>
      <c r="B1973" t="s">
        <v>2119</v>
      </c>
      <c r="C1973" t="s">
        <v>136</v>
      </c>
      <c r="D1973" t="s">
        <v>120</v>
      </c>
      <c r="E1973" t="s">
        <v>153</v>
      </c>
      <c r="F1973" s="2">
        <v>90</v>
      </c>
    </row>
    <row r="1974" spans="1:6">
      <c r="A1974" s="1">
        <v>43671</v>
      </c>
      <c r="B1974" t="s">
        <v>2120</v>
      </c>
      <c r="C1974" t="s">
        <v>152</v>
      </c>
      <c r="D1974" t="s">
        <v>133</v>
      </c>
      <c r="E1974" t="s">
        <v>134</v>
      </c>
      <c r="F1974" s="2">
        <v>30</v>
      </c>
    </row>
    <row r="1975" spans="1:6">
      <c r="A1975" s="1">
        <v>43671</v>
      </c>
      <c r="B1975" t="s">
        <v>2121</v>
      </c>
      <c r="C1975" t="s">
        <v>157</v>
      </c>
      <c r="D1975" t="s">
        <v>141</v>
      </c>
      <c r="E1975" t="s">
        <v>127</v>
      </c>
      <c r="F1975" s="2">
        <v>180</v>
      </c>
    </row>
    <row r="1976" spans="1:6">
      <c r="A1976" s="1">
        <v>43671</v>
      </c>
      <c r="B1976" t="s">
        <v>2122</v>
      </c>
      <c r="C1976" t="s">
        <v>152</v>
      </c>
      <c r="D1976" t="s">
        <v>120</v>
      </c>
      <c r="E1976" t="s">
        <v>131</v>
      </c>
      <c r="F1976" s="2">
        <v>90</v>
      </c>
    </row>
    <row r="1977" spans="1:6">
      <c r="A1977" s="1">
        <v>43671</v>
      </c>
      <c r="B1977" t="s">
        <v>2123</v>
      </c>
      <c r="C1977" t="s">
        <v>143</v>
      </c>
      <c r="D1977" t="s">
        <v>130</v>
      </c>
      <c r="E1977" t="s">
        <v>121</v>
      </c>
      <c r="F1977" s="2">
        <v>100</v>
      </c>
    </row>
    <row r="1978" spans="1:6">
      <c r="A1978" s="1">
        <v>43672</v>
      </c>
      <c r="B1978" t="s">
        <v>2124</v>
      </c>
      <c r="C1978" t="s">
        <v>148</v>
      </c>
      <c r="D1978" t="s">
        <v>126</v>
      </c>
      <c r="E1978" t="s">
        <v>134</v>
      </c>
      <c r="F1978" s="2">
        <v>160</v>
      </c>
    </row>
    <row r="1979" spans="1:6">
      <c r="A1979" s="1">
        <v>43672</v>
      </c>
      <c r="B1979" t="s">
        <v>2125</v>
      </c>
      <c r="C1979" t="s">
        <v>125</v>
      </c>
      <c r="D1979" t="s">
        <v>159</v>
      </c>
      <c r="E1979" t="s">
        <v>121</v>
      </c>
      <c r="F1979" s="2">
        <v>150</v>
      </c>
    </row>
    <row r="1980" spans="1:6">
      <c r="A1980" s="1">
        <v>43672</v>
      </c>
      <c r="B1980" t="s">
        <v>2126</v>
      </c>
      <c r="C1980" t="s">
        <v>145</v>
      </c>
      <c r="D1980" t="s">
        <v>146</v>
      </c>
      <c r="E1980" t="s">
        <v>131</v>
      </c>
      <c r="F1980" s="2">
        <v>50</v>
      </c>
    </row>
    <row r="1981" spans="1:6">
      <c r="A1981" s="1">
        <v>43672</v>
      </c>
      <c r="B1981" t="s">
        <v>2127</v>
      </c>
      <c r="C1981" t="s">
        <v>143</v>
      </c>
      <c r="D1981" t="s">
        <v>130</v>
      </c>
      <c r="E1981" t="s">
        <v>127</v>
      </c>
      <c r="F1981" s="2">
        <v>100</v>
      </c>
    </row>
    <row r="1982" spans="1:6">
      <c r="A1982" s="1">
        <v>43672</v>
      </c>
      <c r="B1982" t="s">
        <v>2128</v>
      </c>
      <c r="C1982" t="s">
        <v>148</v>
      </c>
      <c r="D1982" t="s">
        <v>133</v>
      </c>
      <c r="E1982" t="s">
        <v>134</v>
      </c>
      <c r="F1982" s="2">
        <v>30</v>
      </c>
    </row>
    <row r="1983" spans="1:6">
      <c r="A1983" s="1">
        <v>43672</v>
      </c>
      <c r="B1983" t="s">
        <v>2129</v>
      </c>
      <c r="C1983" t="s">
        <v>182</v>
      </c>
      <c r="D1983" t="s">
        <v>139</v>
      </c>
      <c r="E1983" t="s">
        <v>131</v>
      </c>
      <c r="F1983" s="2">
        <v>80</v>
      </c>
    </row>
    <row r="1984" spans="1:6">
      <c r="A1984" s="1">
        <v>43672</v>
      </c>
      <c r="B1984" t="s">
        <v>2130</v>
      </c>
      <c r="C1984" t="s">
        <v>123</v>
      </c>
      <c r="D1984" t="s">
        <v>141</v>
      </c>
      <c r="E1984" t="s">
        <v>121</v>
      </c>
      <c r="F1984" s="2">
        <v>180</v>
      </c>
    </row>
    <row r="1985" spans="1:6">
      <c r="A1985" s="1">
        <v>43672</v>
      </c>
      <c r="B1985" t="s">
        <v>2131</v>
      </c>
      <c r="C1985" t="s">
        <v>223</v>
      </c>
      <c r="D1985" t="s">
        <v>130</v>
      </c>
      <c r="E1985" t="s">
        <v>134</v>
      </c>
      <c r="F1985" s="2">
        <v>100</v>
      </c>
    </row>
    <row r="1986" spans="1:6">
      <c r="A1986" s="1">
        <v>43672</v>
      </c>
      <c r="B1986" t="s">
        <v>2132</v>
      </c>
      <c r="C1986" t="s">
        <v>143</v>
      </c>
      <c r="D1986" t="s">
        <v>126</v>
      </c>
      <c r="E1986" t="s">
        <v>127</v>
      </c>
      <c r="F1986" s="2">
        <v>160</v>
      </c>
    </row>
    <row r="1987" spans="1:6">
      <c r="A1987" s="1">
        <v>43672</v>
      </c>
      <c r="B1987" t="s">
        <v>2133</v>
      </c>
      <c r="C1987" t="s">
        <v>189</v>
      </c>
      <c r="D1987" t="s">
        <v>120</v>
      </c>
      <c r="E1987" t="s">
        <v>153</v>
      </c>
      <c r="F1987" s="2">
        <v>90</v>
      </c>
    </row>
    <row r="1988" spans="1:6">
      <c r="A1988" s="1">
        <v>43673</v>
      </c>
      <c r="B1988" t="s">
        <v>2134</v>
      </c>
      <c r="C1988" t="s">
        <v>138</v>
      </c>
      <c r="D1988" t="s">
        <v>141</v>
      </c>
      <c r="E1988" t="s">
        <v>121</v>
      </c>
      <c r="F1988" s="2">
        <v>180</v>
      </c>
    </row>
    <row r="1989" spans="1:6">
      <c r="A1989" s="1">
        <v>43673</v>
      </c>
      <c r="B1989" t="s">
        <v>2135</v>
      </c>
      <c r="C1989" t="s">
        <v>164</v>
      </c>
      <c r="D1989" t="s">
        <v>141</v>
      </c>
      <c r="E1989" t="s">
        <v>153</v>
      </c>
      <c r="F1989" s="2">
        <v>180</v>
      </c>
    </row>
    <row r="1990" spans="1:6">
      <c r="A1990" s="1">
        <v>43673</v>
      </c>
      <c r="B1990" t="s">
        <v>2136</v>
      </c>
      <c r="C1990" t="s">
        <v>157</v>
      </c>
      <c r="D1990" t="s">
        <v>146</v>
      </c>
      <c r="E1990" t="s">
        <v>127</v>
      </c>
      <c r="F1990" s="2">
        <v>50</v>
      </c>
    </row>
    <row r="1991" spans="1:6">
      <c r="A1991" s="1">
        <v>43673</v>
      </c>
      <c r="B1991" t="s">
        <v>2137</v>
      </c>
      <c r="C1991" t="s">
        <v>143</v>
      </c>
      <c r="D1991" t="s">
        <v>146</v>
      </c>
      <c r="E1991" t="s">
        <v>131</v>
      </c>
      <c r="F1991" s="2">
        <v>50</v>
      </c>
    </row>
    <row r="1992" spans="1:6">
      <c r="A1992" s="1">
        <v>43673</v>
      </c>
      <c r="B1992" t="s">
        <v>2138</v>
      </c>
      <c r="C1992" t="s">
        <v>125</v>
      </c>
      <c r="D1992" t="s">
        <v>133</v>
      </c>
      <c r="E1992" t="s">
        <v>131</v>
      </c>
      <c r="F1992" s="2">
        <v>30</v>
      </c>
    </row>
    <row r="1993" spans="1:6">
      <c r="A1993" s="1">
        <v>43673</v>
      </c>
      <c r="B1993" t="s">
        <v>2139</v>
      </c>
      <c r="C1993" t="s">
        <v>145</v>
      </c>
      <c r="D1993" t="s">
        <v>126</v>
      </c>
      <c r="E1993" t="s">
        <v>121</v>
      </c>
      <c r="F1993" s="2">
        <v>160</v>
      </c>
    </row>
    <row r="1994" spans="1:6">
      <c r="A1994" s="1">
        <v>43673</v>
      </c>
      <c r="B1994" t="s">
        <v>2140</v>
      </c>
      <c r="C1994" t="s">
        <v>119</v>
      </c>
      <c r="D1994" t="s">
        <v>120</v>
      </c>
      <c r="E1994" t="s">
        <v>153</v>
      </c>
      <c r="F1994" s="2">
        <v>90</v>
      </c>
    </row>
    <row r="1995" spans="1:6">
      <c r="A1995" s="1">
        <v>43674</v>
      </c>
      <c r="B1995" t="s">
        <v>2141</v>
      </c>
      <c r="C1995" t="s">
        <v>145</v>
      </c>
      <c r="D1995" t="s">
        <v>146</v>
      </c>
      <c r="E1995" t="s">
        <v>127</v>
      </c>
      <c r="F1995" s="2">
        <v>50</v>
      </c>
    </row>
    <row r="1996" spans="1:6">
      <c r="A1996" s="1">
        <v>43674</v>
      </c>
      <c r="B1996" t="s">
        <v>2142</v>
      </c>
      <c r="C1996" t="s">
        <v>125</v>
      </c>
      <c r="D1996" t="s">
        <v>130</v>
      </c>
      <c r="E1996" t="s">
        <v>134</v>
      </c>
      <c r="F1996" s="2">
        <v>100</v>
      </c>
    </row>
    <row r="1997" spans="1:6">
      <c r="A1997" s="1">
        <v>43674</v>
      </c>
      <c r="B1997" t="s">
        <v>2143</v>
      </c>
      <c r="C1997" t="s">
        <v>223</v>
      </c>
      <c r="D1997" t="s">
        <v>126</v>
      </c>
      <c r="E1997" t="s">
        <v>121</v>
      </c>
      <c r="F1997" s="2">
        <v>160</v>
      </c>
    </row>
    <row r="1998" spans="1:6">
      <c r="A1998" s="1">
        <v>43674</v>
      </c>
      <c r="B1998" t="s">
        <v>2144</v>
      </c>
      <c r="C1998" t="s">
        <v>157</v>
      </c>
      <c r="D1998" t="s">
        <v>146</v>
      </c>
      <c r="E1998" t="s">
        <v>153</v>
      </c>
      <c r="F1998" s="2">
        <v>50</v>
      </c>
    </row>
    <row r="1999" spans="1:6">
      <c r="A1999" s="1">
        <v>43674</v>
      </c>
      <c r="B1999" t="s">
        <v>2145</v>
      </c>
      <c r="C1999" t="s">
        <v>164</v>
      </c>
      <c r="D1999" t="s">
        <v>146</v>
      </c>
      <c r="E1999" t="s">
        <v>134</v>
      </c>
      <c r="F1999" s="2">
        <v>50</v>
      </c>
    </row>
    <row r="2000" spans="1:6">
      <c r="A2000" s="1">
        <v>43674</v>
      </c>
      <c r="B2000" t="s">
        <v>2146</v>
      </c>
      <c r="C2000" t="s">
        <v>167</v>
      </c>
      <c r="D2000" t="s">
        <v>159</v>
      </c>
      <c r="E2000" t="s">
        <v>121</v>
      </c>
      <c r="F2000" s="2">
        <v>150</v>
      </c>
    </row>
    <row r="2001" spans="1:6">
      <c r="A2001" s="1">
        <v>43674</v>
      </c>
      <c r="B2001" t="s">
        <v>2147</v>
      </c>
      <c r="C2001" t="s">
        <v>182</v>
      </c>
      <c r="D2001" t="s">
        <v>130</v>
      </c>
      <c r="E2001" t="s">
        <v>131</v>
      </c>
      <c r="F2001" s="2">
        <v>100</v>
      </c>
    </row>
    <row r="2002" spans="1:6">
      <c r="A2002" s="1">
        <v>43674</v>
      </c>
      <c r="B2002" t="s">
        <v>2148</v>
      </c>
      <c r="C2002" t="s">
        <v>129</v>
      </c>
      <c r="D2002" t="s">
        <v>139</v>
      </c>
      <c r="E2002" t="s">
        <v>121</v>
      </c>
      <c r="F2002" s="2">
        <v>80</v>
      </c>
    </row>
    <row r="2003" spans="1:6">
      <c r="A2003" s="1">
        <v>43674</v>
      </c>
      <c r="B2003" t="s">
        <v>2149</v>
      </c>
      <c r="C2003" t="s">
        <v>152</v>
      </c>
      <c r="D2003" t="s">
        <v>141</v>
      </c>
      <c r="E2003" t="s">
        <v>121</v>
      </c>
      <c r="F2003" s="2">
        <v>180</v>
      </c>
    </row>
    <row r="2004" spans="1:6">
      <c r="A2004" s="1">
        <v>43674</v>
      </c>
      <c r="B2004" t="s">
        <v>2150</v>
      </c>
      <c r="C2004" t="s">
        <v>143</v>
      </c>
      <c r="D2004" t="s">
        <v>139</v>
      </c>
      <c r="E2004" t="s">
        <v>131</v>
      </c>
      <c r="F2004" s="2">
        <v>80</v>
      </c>
    </row>
    <row r="2005" spans="1:6">
      <c r="A2005" s="1">
        <v>43674</v>
      </c>
      <c r="B2005" t="s">
        <v>2151</v>
      </c>
      <c r="C2005" t="s">
        <v>125</v>
      </c>
      <c r="D2005" t="s">
        <v>139</v>
      </c>
      <c r="E2005" t="s">
        <v>121</v>
      </c>
      <c r="F2005" s="2">
        <v>80</v>
      </c>
    </row>
    <row r="2006" spans="1:6">
      <c r="A2006" s="1">
        <v>43674</v>
      </c>
      <c r="B2006" t="s">
        <v>2152</v>
      </c>
      <c r="C2006" t="s">
        <v>152</v>
      </c>
      <c r="D2006" t="s">
        <v>126</v>
      </c>
      <c r="E2006" t="s">
        <v>131</v>
      </c>
      <c r="F2006" s="2">
        <v>160</v>
      </c>
    </row>
    <row r="2007" spans="1:6">
      <c r="A2007" s="1">
        <v>43675</v>
      </c>
      <c r="B2007" t="s">
        <v>2153</v>
      </c>
      <c r="C2007" t="s">
        <v>125</v>
      </c>
      <c r="D2007" t="s">
        <v>139</v>
      </c>
      <c r="E2007" t="s">
        <v>127</v>
      </c>
      <c r="F2007" s="2">
        <v>80</v>
      </c>
    </row>
    <row r="2008" spans="1:6">
      <c r="A2008" s="1">
        <v>43675</v>
      </c>
      <c r="B2008" t="s">
        <v>2154</v>
      </c>
      <c r="C2008" t="s">
        <v>152</v>
      </c>
      <c r="D2008" t="s">
        <v>133</v>
      </c>
      <c r="E2008" t="s">
        <v>121</v>
      </c>
      <c r="F2008" s="2">
        <v>30</v>
      </c>
    </row>
    <row r="2009" spans="1:6">
      <c r="A2009" s="1">
        <v>43675</v>
      </c>
      <c r="B2009" t="s">
        <v>2155</v>
      </c>
      <c r="C2009" t="s">
        <v>148</v>
      </c>
      <c r="D2009" t="s">
        <v>133</v>
      </c>
      <c r="E2009" t="s">
        <v>127</v>
      </c>
      <c r="F2009" s="2">
        <v>30</v>
      </c>
    </row>
    <row r="2010" spans="1:6">
      <c r="A2010" s="1">
        <v>43675</v>
      </c>
      <c r="B2010" t="s">
        <v>2156</v>
      </c>
      <c r="C2010" t="s">
        <v>189</v>
      </c>
      <c r="D2010" t="s">
        <v>146</v>
      </c>
      <c r="E2010" t="s">
        <v>153</v>
      </c>
      <c r="F2010" s="2">
        <v>50</v>
      </c>
    </row>
    <row r="2011" spans="1:6">
      <c r="A2011" s="1">
        <v>43675</v>
      </c>
      <c r="B2011" t="s">
        <v>2157</v>
      </c>
      <c r="C2011" t="s">
        <v>189</v>
      </c>
      <c r="D2011" t="s">
        <v>159</v>
      </c>
      <c r="E2011" t="s">
        <v>134</v>
      </c>
      <c r="F2011" s="2">
        <v>150</v>
      </c>
    </row>
    <row r="2012" spans="1:6">
      <c r="A2012" s="1">
        <v>43675</v>
      </c>
      <c r="B2012" t="s">
        <v>2158</v>
      </c>
      <c r="C2012" t="s">
        <v>143</v>
      </c>
      <c r="D2012" t="s">
        <v>146</v>
      </c>
      <c r="E2012" t="s">
        <v>131</v>
      </c>
      <c r="F2012" s="2">
        <v>50</v>
      </c>
    </row>
    <row r="2013" spans="1:6">
      <c r="A2013" s="1">
        <v>43676</v>
      </c>
      <c r="B2013" t="s">
        <v>2159</v>
      </c>
      <c r="C2013" t="s">
        <v>187</v>
      </c>
      <c r="D2013" t="s">
        <v>141</v>
      </c>
      <c r="E2013" t="s">
        <v>121</v>
      </c>
      <c r="F2013" s="2">
        <v>180</v>
      </c>
    </row>
    <row r="2014" spans="1:6">
      <c r="A2014" s="1">
        <v>43676</v>
      </c>
      <c r="B2014" t="s">
        <v>2160</v>
      </c>
      <c r="C2014" t="s">
        <v>187</v>
      </c>
      <c r="D2014" t="s">
        <v>120</v>
      </c>
      <c r="E2014" t="s">
        <v>127</v>
      </c>
      <c r="F2014" s="2">
        <v>90</v>
      </c>
    </row>
    <row r="2015" spans="1:6">
      <c r="A2015" s="1">
        <v>43676</v>
      </c>
      <c r="B2015" t="s">
        <v>2161</v>
      </c>
      <c r="C2015" t="s">
        <v>136</v>
      </c>
      <c r="D2015" t="s">
        <v>159</v>
      </c>
      <c r="E2015" t="s">
        <v>134</v>
      </c>
      <c r="F2015" s="2">
        <v>150</v>
      </c>
    </row>
    <row r="2016" spans="1:6">
      <c r="A2016" s="1">
        <v>43676</v>
      </c>
      <c r="B2016" t="s">
        <v>2162</v>
      </c>
      <c r="C2016" t="s">
        <v>138</v>
      </c>
      <c r="D2016" t="s">
        <v>130</v>
      </c>
      <c r="E2016" t="s">
        <v>134</v>
      </c>
      <c r="F2016" s="2">
        <v>100</v>
      </c>
    </row>
    <row r="2017" spans="1:6">
      <c r="A2017" s="1">
        <v>43676</v>
      </c>
      <c r="B2017" t="s">
        <v>2163</v>
      </c>
      <c r="C2017" t="s">
        <v>223</v>
      </c>
      <c r="D2017" t="s">
        <v>120</v>
      </c>
      <c r="E2017" t="s">
        <v>121</v>
      </c>
      <c r="F2017" s="2">
        <v>90</v>
      </c>
    </row>
    <row r="2018" spans="1:6">
      <c r="A2018" s="1">
        <v>43676</v>
      </c>
      <c r="B2018" t="s">
        <v>2164</v>
      </c>
      <c r="C2018" t="s">
        <v>164</v>
      </c>
      <c r="D2018" t="s">
        <v>146</v>
      </c>
      <c r="E2018" t="s">
        <v>153</v>
      </c>
      <c r="F2018" s="2">
        <v>50</v>
      </c>
    </row>
    <row r="2019" spans="1:6">
      <c r="A2019" s="1">
        <v>43676</v>
      </c>
      <c r="B2019" t="s">
        <v>2165</v>
      </c>
      <c r="C2019" t="s">
        <v>138</v>
      </c>
      <c r="D2019" t="s">
        <v>141</v>
      </c>
      <c r="E2019" t="s">
        <v>127</v>
      </c>
      <c r="F2019" s="2">
        <v>180</v>
      </c>
    </row>
    <row r="2020" spans="1:6">
      <c r="A2020" s="1">
        <v>43676</v>
      </c>
      <c r="B2020" t="s">
        <v>2166</v>
      </c>
      <c r="C2020" t="s">
        <v>129</v>
      </c>
      <c r="D2020" t="s">
        <v>120</v>
      </c>
      <c r="E2020" t="s">
        <v>153</v>
      </c>
      <c r="F2020" s="2">
        <v>90</v>
      </c>
    </row>
    <row r="2021" spans="1:6">
      <c r="A2021" s="1">
        <v>43676</v>
      </c>
      <c r="B2021" t="s">
        <v>2167</v>
      </c>
      <c r="C2021" t="s">
        <v>143</v>
      </c>
      <c r="D2021" t="s">
        <v>159</v>
      </c>
      <c r="E2021" t="s">
        <v>127</v>
      </c>
      <c r="F2021" s="2">
        <v>150</v>
      </c>
    </row>
    <row r="2022" spans="1:6">
      <c r="A2022" s="1">
        <v>43676</v>
      </c>
      <c r="B2022" t="s">
        <v>2168</v>
      </c>
      <c r="C2022" t="s">
        <v>223</v>
      </c>
      <c r="D2022" t="s">
        <v>159</v>
      </c>
      <c r="E2022" t="s">
        <v>134</v>
      </c>
      <c r="F2022" s="2">
        <v>150</v>
      </c>
    </row>
    <row r="2023" spans="1:6">
      <c r="A2023" s="1">
        <v>43676</v>
      </c>
      <c r="B2023" t="s">
        <v>2169</v>
      </c>
      <c r="C2023" t="s">
        <v>125</v>
      </c>
      <c r="D2023" t="s">
        <v>159</v>
      </c>
      <c r="E2023" t="s">
        <v>121</v>
      </c>
      <c r="F2023" s="2">
        <v>150</v>
      </c>
    </row>
    <row r="2024" spans="1:6">
      <c r="A2024" s="1">
        <v>43676</v>
      </c>
      <c r="B2024" t="s">
        <v>2170</v>
      </c>
      <c r="C2024" t="s">
        <v>143</v>
      </c>
      <c r="D2024" t="s">
        <v>133</v>
      </c>
      <c r="E2024" t="s">
        <v>121</v>
      </c>
      <c r="F2024" s="2">
        <v>30</v>
      </c>
    </row>
    <row r="2025" spans="1:6">
      <c r="A2025" s="1">
        <v>43676</v>
      </c>
      <c r="B2025" t="s">
        <v>2171</v>
      </c>
      <c r="C2025" t="s">
        <v>119</v>
      </c>
      <c r="D2025" t="s">
        <v>159</v>
      </c>
      <c r="E2025" t="s">
        <v>121</v>
      </c>
      <c r="F2025" s="2">
        <v>150</v>
      </c>
    </row>
    <row r="2026" spans="1:6">
      <c r="A2026" s="1">
        <v>43676</v>
      </c>
      <c r="B2026" t="s">
        <v>2172</v>
      </c>
      <c r="C2026" t="s">
        <v>223</v>
      </c>
      <c r="D2026" t="s">
        <v>130</v>
      </c>
      <c r="E2026" t="s">
        <v>127</v>
      </c>
      <c r="F2026" s="2">
        <v>100</v>
      </c>
    </row>
    <row r="2027" spans="1:6">
      <c r="A2027" s="1">
        <v>43676</v>
      </c>
      <c r="B2027" t="s">
        <v>2173</v>
      </c>
      <c r="C2027" t="s">
        <v>152</v>
      </c>
      <c r="D2027" t="s">
        <v>126</v>
      </c>
      <c r="E2027" t="s">
        <v>121</v>
      </c>
      <c r="F2027" s="2">
        <v>160</v>
      </c>
    </row>
    <row r="2028" spans="1:6">
      <c r="A2028" s="1">
        <v>43677</v>
      </c>
      <c r="B2028" t="s">
        <v>2174</v>
      </c>
      <c r="C2028" t="s">
        <v>125</v>
      </c>
      <c r="D2028" t="s">
        <v>139</v>
      </c>
      <c r="E2028" t="s">
        <v>134</v>
      </c>
      <c r="F2028" s="2">
        <v>80</v>
      </c>
    </row>
    <row r="2029" spans="1:6">
      <c r="A2029" s="1">
        <v>43677</v>
      </c>
      <c r="B2029" t="s">
        <v>2175</v>
      </c>
      <c r="C2029" t="s">
        <v>157</v>
      </c>
      <c r="D2029" t="s">
        <v>139</v>
      </c>
      <c r="E2029" t="s">
        <v>121</v>
      </c>
      <c r="F2029" s="2">
        <v>80</v>
      </c>
    </row>
    <row r="2030" spans="1:6">
      <c r="A2030" s="1">
        <v>43677</v>
      </c>
      <c r="B2030" t="s">
        <v>2176</v>
      </c>
      <c r="C2030" t="s">
        <v>136</v>
      </c>
      <c r="D2030" t="s">
        <v>141</v>
      </c>
      <c r="E2030" t="s">
        <v>131</v>
      </c>
      <c r="F2030" s="2">
        <v>180</v>
      </c>
    </row>
    <row r="2031" spans="1:6">
      <c r="A2031" s="1">
        <v>43677</v>
      </c>
      <c r="B2031" t="s">
        <v>2177</v>
      </c>
      <c r="C2031" t="s">
        <v>164</v>
      </c>
      <c r="D2031" t="s">
        <v>141</v>
      </c>
      <c r="E2031" t="s">
        <v>131</v>
      </c>
      <c r="F2031" s="2">
        <v>180</v>
      </c>
    </row>
    <row r="2032" spans="1:6">
      <c r="A2032" s="1">
        <v>43677</v>
      </c>
      <c r="B2032" t="s">
        <v>2178</v>
      </c>
      <c r="C2032" t="s">
        <v>119</v>
      </c>
      <c r="D2032" t="s">
        <v>141</v>
      </c>
      <c r="E2032" t="s">
        <v>134</v>
      </c>
      <c r="F2032" s="2">
        <v>180</v>
      </c>
    </row>
    <row r="2033" spans="1:6">
      <c r="A2033" s="1">
        <v>43677</v>
      </c>
      <c r="B2033" t="s">
        <v>2179</v>
      </c>
      <c r="C2033" t="s">
        <v>119</v>
      </c>
      <c r="D2033" t="s">
        <v>141</v>
      </c>
      <c r="E2033" t="s">
        <v>134</v>
      </c>
      <c r="F2033" s="2">
        <v>180</v>
      </c>
    </row>
    <row r="2034" spans="1:6">
      <c r="A2034" s="1">
        <v>43678</v>
      </c>
      <c r="B2034" t="s">
        <v>2180</v>
      </c>
      <c r="C2034" t="s">
        <v>157</v>
      </c>
      <c r="D2034" t="s">
        <v>126</v>
      </c>
      <c r="E2034" t="s">
        <v>127</v>
      </c>
      <c r="F2034" s="2">
        <v>160</v>
      </c>
    </row>
    <row r="2035" spans="1:6">
      <c r="A2035" s="1">
        <v>43678</v>
      </c>
      <c r="B2035" t="s">
        <v>2181</v>
      </c>
      <c r="C2035" t="s">
        <v>187</v>
      </c>
      <c r="D2035" t="s">
        <v>126</v>
      </c>
      <c r="E2035" t="s">
        <v>134</v>
      </c>
      <c r="F2035" s="2">
        <v>160</v>
      </c>
    </row>
    <row r="2036" spans="1:6">
      <c r="A2036" s="1">
        <v>43678</v>
      </c>
      <c r="B2036" t="s">
        <v>2182</v>
      </c>
      <c r="C2036" t="s">
        <v>152</v>
      </c>
      <c r="D2036" t="s">
        <v>139</v>
      </c>
      <c r="E2036" t="s">
        <v>153</v>
      </c>
      <c r="F2036" s="2">
        <v>80</v>
      </c>
    </row>
    <row r="2037" spans="1:6">
      <c r="A2037" s="1">
        <v>43678</v>
      </c>
      <c r="B2037" t="s">
        <v>2183</v>
      </c>
      <c r="C2037" t="s">
        <v>167</v>
      </c>
      <c r="D2037" t="s">
        <v>130</v>
      </c>
      <c r="E2037" t="s">
        <v>131</v>
      </c>
      <c r="F2037" s="2">
        <v>100</v>
      </c>
    </row>
    <row r="2038" spans="1:6">
      <c r="A2038" s="1">
        <v>43678</v>
      </c>
      <c r="B2038" t="s">
        <v>2184</v>
      </c>
      <c r="C2038" t="s">
        <v>125</v>
      </c>
      <c r="D2038" t="s">
        <v>133</v>
      </c>
      <c r="E2038" t="s">
        <v>131</v>
      </c>
      <c r="F2038" s="2">
        <v>30</v>
      </c>
    </row>
    <row r="2039" spans="1:6">
      <c r="A2039" s="1">
        <v>43678</v>
      </c>
      <c r="B2039" t="s">
        <v>2185</v>
      </c>
      <c r="C2039" t="s">
        <v>123</v>
      </c>
      <c r="D2039" t="s">
        <v>146</v>
      </c>
      <c r="E2039" t="s">
        <v>134</v>
      </c>
      <c r="F2039" s="2">
        <v>50</v>
      </c>
    </row>
    <row r="2040" spans="1:6">
      <c r="A2040" s="1">
        <v>43678</v>
      </c>
      <c r="B2040" t="s">
        <v>2186</v>
      </c>
      <c r="C2040" t="s">
        <v>129</v>
      </c>
      <c r="D2040" t="s">
        <v>159</v>
      </c>
      <c r="E2040" t="s">
        <v>127</v>
      </c>
      <c r="F2040" s="2">
        <v>150</v>
      </c>
    </row>
    <row r="2041" spans="1:6">
      <c r="A2041" s="1">
        <v>43678</v>
      </c>
      <c r="B2041" t="s">
        <v>2187</v>
      </c>
      <c r="C2041" t="s">
        <v>164</v>
      </c>
      <c r="D2041" t="s">
        <v>126</v>
      </c>
      <c r="E2041" t="s">
        <v>127</v>
      </c>
      <c r="F2041" s="2">
        <v>160</v>
      </c>
    </row>
    <row r="2042" spans="1:6">
      <c r="A2042" s="1">
        <v>43678</v>
      </c>
      <c r="B2042" t="s">
        <v>2188</v>
      </c>
      <c r="C2042" t="s">
        <v>125</v>
      </c>
      <c r="D2042" t="s">
        <v>120</v>
      </c>
      <c r="E2042" t="s">
        <v>153</v>
      </c>
      <c r="F2042" s="2">
        <v>90</v>
      </c>
    </row>
    <row r="2043" spans="1:6">
      <c r="A2043" s="1">
        <v>43678</v>
      </c>
      <c r="B2043" t="s">
        <v>2189</v>
      </c>
      <c r="C2043" t="s">
        <v>223</v>
      </c>
      <c r="D2043" t="s">
        <v>159</v>
      </c>
      <c r="E2043" t="s">
        <v>127</v>
      </c>
      <c r="F2043" s="2">
        <v>150</v>
      </c>
    </row>
    <row r="2044" spans="1:6">
      <c r="A2044" s="1">
        <v>43678</v>
      </c>
      <c r="B2044" t="s">
        <v>2190</v>
      </c>
      <c r="C2044" t="s">
        <v>123</v>
      </c>
      <c r="D2044" t="s">
        <v>133</v>
      </c>
      <c r="E2044" t="s">
        <v>121</v>
      </c>
      <c r="F2044" s="2">
        <v>30</v>
      </c>
    </row>
    <row r="2045" spans="1:6">
      <c r="A2045" s="1">
        <v>43678</v>
      </c>
      <c r="B2045" t="s">
        <v>2191</v>
      </c>
      <c r="C2045" t="s">
        <v>164</v>
      </c>
      <c r="D2045" t="s">
        <v>130</v>
      </c>
      <c r="E2045" t="s">
        <v>153</v>
      </c>
      <c r="F2045" s="2">
        <v>100</v>
      </c>
    </row>
    <row r="2046" spans="1:6">
      <c r="A2046" s="1">
        <v>43678</v>
      </c>
      <c r="B2046" t="s">
        <v>2192</v>
      </c>
      <c r="C2046" t="s">
        <v>123</v>
      </c>
      <c r="D2046" t="s">
        <v>120</v>
      </c>
      <c r="E2046" t="s">
        <v>131</v>
      </c>
      <c r="F2046" s="2">
        <v>90</v>
      </c>
    </row>
    <row r="2047" spans="1:6">
      <c r="A2047" s="1">
        <v>43678</v>
      </c>
      <c r="B2047" t="s">
        <v>2193</v>
      </c>
      <c r="C2047" t="s">
        <v>136</v>
      </c>
      <c r="D2047" t="s">
        <v>130</v>
      </c>
      <c r="E2047" t="s">
        <v>134</v>
      </c>
      <c r="F2047" s="2">
        <v>100</v>
      </c>
    </row>
    <row r="2048" spans="1:6">
      <c r="A2048" s="1">
        <v>43678</v>
      </c>
      <c r="B2048" t="s">
        <v>2194</v>
      </c>
      <c r="C2048" t="s">
        <v>129</v>
      </c>
      <c r="D2048" t="s">
        <v>141</v>
      </c>
      <c r="E2048" t="s">
        <v>131</v>
      </c>
      <c r="F2048" s="2">
        <v>180</v>
      </c>
    </row>
    <row r="2049" spans="1:6">
      <c r="A2049" s="1">
        <v>43678</v>
      </c>
      <c r="B2049" t="s">
        <v>2195</v>
      </c>
      <c r="C2049" t="s">
        <v>145</v>
      </c>
      <c r="D2049" t="s">
        <v>130</v>
      </c>
      <c r="E2049" t="s">
        <v>121</v>
      </c>
      <c r="F2049" s="2">
        <v>100</v>
      </c>
    </row>
    <row r="2050" spans="1:6">
      <c r="A2050" s="1">
        <v>43678</v>
      </c>
      <c r="B2050" t="s">
        <v>2196</v>
      </c>
      <c r="C2050" t="s">
        <v>167</v>
      </c>
      <c r="D2050" t="s">
        <v>139</v>
      </c>
      <c r="E2050" t="s">
        <v>127</v>
      </c>
      <c r="F2050" s="2">
        <v>80</v>
      </c>
    </row>
    <row r="2051" spans="1:6">
      <c r="A2051" s="1">
        <v>43679</v>
      </c>
      <c r="B2051" t="s">
        <v>2197</v>
      </c>
      <c r="C2051" t="s">
        <v>136</v>
      </c>
      <c r="D2051" t="s">
        <v>139</v>
      </c>
      <c r="E2051" t="s">
        <v>121</v>
      </c>
      <c r="F2051" s="2">
        <v>80</v>
      </c>
    </row>
    <row r="2052" spans="1:6">
      <c r="A2052" s="1">
        <v>43679</v>
      </c>
      <c r="B2052" t="s">
        <v>2198</v>
      </c>
      <c r="C2052" t="s">
        <v>187</v>
      </c>
      <c r="D2052" t="s">
        <v>141</v>
      </c>
      <c r="E2052" t="s">
        <v>153</v>
      </c>
      <c r="F2052" s="2">
        <v>180</v>
      </c>
    </row>
    <row r="2053" spans="1:6">
      <c r="A2053" s="1">
        <v>43679</v>
      </c>
      <c r="B2053" t="s">
        <v>2199</v>
      </c>
      <c r="C2053" t="s">
        <v>164</v>
      </c>
      <c r="D2053" t="s">
        <v>139</v>
      </c>
      <c r="E2053" t="s">
        <v>153</v>
      </c>
      <c r="F2053" s="2">
        <v>80</v>
      </c>
    </row>
    <row r="2054" spans="1:6">
      <c r="A2054" s="1">
        <v>43679</v>
      </c>
      <c r="B2054" t="s">
        <v>2200</v>
      </c>
      <c r="C2054" t="s">
        <v>157</v>
      </c>
      <c r="D2054" t="s">
        <v>133</v>
      </c>
      <c r="E2054" t="s">
        <v>127</v>
      </c>
      <c r="F2054" s="2">
        <v>30</v>
      </c>
    </row>
    <row r="2055" spans="1:6">
      <c r="A2055" s="1">
        <v>43679</v>
      </c>
      <c r="B2055" t="s">
        <v>2201</v>
      </c>
      <c r="C2055" t="s">
        <v>182</v>
      </c>
      <c r="D2055" t="s">
        <v>146</v>
      </c>
      <c r="E2055" t="s">
        <v>131</v>
      </c>
      <c r="F2055" s="2">
        <v>50</v>
      </c>
    </row>
    <row r="2056" spans="1:6">
      <c r="A2056" s="1">
        <v>43679</v>
      </c>
      <c r="B2056" t="s">
        <v>2202</v>
      </c>
      <c r="C2056" t="s">
        <v>143</v>
      </c>
      <c r="D2056" t="s">
        <v>133</v>
      </c>
      <c r="E2056" t="s">
        <v>131</v>
      </c>
      <c r="F2056" s="2">
        <v>30</v>
      </c>
    </row>
    <row r="2057" spans="1:6">
      <c r="A2057" s="1">
        <v>43679</v>
      </c>
      <c r="B2057" t="s">
        <v>2203</v>
      </c>
      <c r="C2057" t="s">
        <v>152</v>
      </c>
      <c r="D2057" t="s">
        <v>159</v>
      </c>
      <c r="E2057" t="s">
        <v>127</v>
      </c>
      <c r="F2057" s="2">
        <v>150</v>
      </c>
    </row>
    <row r="2058" spans="1:6">
      <c r="A2058" s="1">
        <v>43679</v>
      </c>
      <c r="B2058" t="s">
        <v>2204</v>
      </c>
      <c r="C2058" t="s">
        <v>164</v>
      </c>
      <c r="D2058" t="s">
        <v>120</v>
      </c>
      <c r="E2058" t="s">
        <v>153</v>
      </c>
      <c r="F2058" s="2">
        <v>90</v>
      </c>
    </row>
    <row r="2059" spans="1:6">
      <c r="A2059" s="1">
        <v>43680</v>
      </c>
      <c r="B2059" t="s">
        <v>2205</v>
      </c>
      <c r="C2059" t="s">
        <v>164</v>
      </c>
      <c r="D2059" t="s">
        <v>120</v>
      </c>
      <c r="E2059" t="s">
        <v>127</v>
      </c>
      <c r="F2059" s="2">
        <v>90</v>
      </c>
    </row>
    <row r="2060" spans="1:6">
      <c r="A2060" s="1">
        <v>43680</v>
      </c>
      <c r="B2060" t="s">
        <v>2206</v>
      </c>
      <c r="C2060" t="s">
        <v>136</v>
      </c>
      <c r="D2060" t="s">
        <v>133</v>
      </c>
      <c r="E2060" t="s">
        <v>134</v>
      </c>
      <c r="F2060" s="2">
        <v>30</v>
      </c>
    </row>
    <row r="2061" spans="1:6">
      <c r="A2061" s="1">
        <v>43680</v>
      </c>
      <c r="B2061" t="s">
        <v>2207</v>
      </c>
      <c r="C2061" t="s">
        <v>164</v>
      </c>
      <c r="D2061" t="s">
        <v>146</v>
      </c>
      <c r="E2061" t="s">
        <v>121</v>
      </c>
      <c r="F2061" s="2">
        <v>50</v>
      </c>
    </row>
    <row r="2062" spans="1:6">
      <c r="A2062" s="1">
        <v>43680</v>
      </c>
      <c r="B2062" t="s">
        <v>2208</v>
      </c>
      <c r="C2062" t="s">
        <v>164</v>
      </c>
      <c r="D2062" t="s">
        <v>120</v>
      </c>
      <c r="E2062" t="s">
        <v>131</v>
      </c>
      <c r="F2062" s="2">
        <v>90</v>
      </c>
    </row>
    <row r="2063" spans="1:6">
      <c r="A2063" s="1">
        <v>43680</v>
      </c>
      <c r="B2063" t="s">
        <v>2209</v>
      </c>
      <c r="C2063" t="s">
        <v>145</v>
      </c>
      <c r="D2063" t="s">
        <v>141</v>
      </c>
      <c r="E2063" t="s">
        <v>131</v>
      </c>
      <c r="F2063" s="2">
        <v>180</v>
      </c>
    </row>
    <row r="2064" spans="1:6">
      <c r="A2064" s="1">
        <v>43680</v>
      </c>
      <c r="B2064" t="s">
        <v>2210</v>
      </c>
      <c r="C2064" t="s">
        <v>187</v>
      </c>
      <c r="D2064" t="s">
        <v>133</v>
      </c>
      <c r="E2064" t="s">
        <v>127</v>
      </c>
      <c r="F2064" s="2">
        <v>30</v>
      </c>
    </row>
    <row r="2065" spans="1:6">
      <c r="A2065" s="1">
        <v>43680</v>
      </c>
      <c r="B2065" t="s">
        <v>2211</v>
      </c>
      <c r="C2065" t="s">
        <v>138</v>
      </c>
      <c r="D2065" t="s">
        <v>139</v>
      </c>
      <c r="E2065" t="s">
        <v>127</v>
      </c>
      <c r="F2065" s="2">
        <v>80</v>
      </c>
    </row>
    <row r="2066" spans="1:6">
      <c r="A2066" s="1">
        <v>43680</v>
      </c>
      <c r="B2066" t="s">
        <v>2212</v>
      </c>
      <c r="C2066" t="s">
        <v>123</v>
      </c>
      <c r="D2066" t="s">
        <v>141</v>
      </c>
      <c r="E2066" t="s">
        <v>121</v>
      </c>
      <c r="F2066" s="2">
        <v>180</v>
      </c>
    </row>
    <row r="2067" spans="1:6">
      <c r="A2067" s="1">
        <v>43680</v>
      </c>
      <c r="B2067" t="s">
        <v>2213</v>
      </c>
      <c r="C2067" t="s">
        <v>143</v>
      </c>
      <c r="D2067" t="s">
        <v>130</v>
      </c>
      <c r="E2067" t="s">
        <v>131</v>
      </c>
      <c r="F2067" s="2">
        <v>100</v>
      </c>
    </row>
    <row r="2068" spans="1:6">
      <c r="A2068" s="1">
        <v>43680</v>
      </c>
      <c r="B2068" t="s">
        <v>2214</v>
      </c>
      <c r="C2068" t="s">
        <v>223</v>
      </c>
      <c r="D2068" t="s">
        <v>146</v>
      </c>
      <c r="E2068" t="s">
        <v>131</v>
      </c>
      <c r="F2068" s="2">
        <v>50</v>
      </c>
    </row>
    <row r="2069" spans="1:6">
      <c r="A2069" s="1">
        <v>43680</v>
      </c>
      <c r="B2069" t="s">
        <v>2215</v>
      </c>
      <c r="C2069" t="s">
        <v>119</v>
      </c>
      <c r="D2069" t="s">
        <v>141</v>
      </c>
      <c r="E2069" t="s">
        <v>134</v>
      </c>
      <c r="F2069" s="2">
        <v>180</v>
      </c>
    </row>
    <row r="2070" spans="1:6">
      <c r="A2070" s="1">
        <v>43681</v>
      </c>
      <c r="B2070" t="s">
        <v>2216</v>
      </c>
      <c r="C2070" t="s">
        <v>143</v>
      </c>
      <c r="D2070" t="s">
        <v>159</v>
      </c>
      <c r="E2070" t="s">
        <v>134</v>
      </c>
      <c r="F2070" s="2">
        <v>150</v>
      </c>
    </row>
    <row r="2071" spans="1:6">
      <c r="A2071" s="1">
        <v>43681</v>
      </c>
      <c r="B2071" t="s">
        <v>2217</v>
      </c>
      <c r="C2071" t="s">
        <v>123</v>
      </c>
      <c r="D2071" t="s">
        <v>130</v>
      </c>
      <c r="E2071" t="s">
        <v>121</v>
      </c>
      <c r="F2071" s="2">
        <v>100</v>
      </c>
    </row>
    <row r="2072" spans="1:6">
      <c r="A2072" s="1">
        <v>43681</v>
      </c>
      <c r="B2072" t="s">
        <v>2218</v>
      </c>
      <c r="C2072" t="s">
        <v>152</v>
      </c>
      <c r="D2072" t="s">
        <v>146</v>
      </c>
      <c r="E2072" t="s">
        <v>131</v>
      </c>
      <c r="F2072" s="2">
        <v>50</v>
      </c>
    </row>
    <row r="2073" spans="1:6">
      <c r="A2073" s="1">
        <v>43681</v>
      </c>
      <c r="B2073" t="s">
        <v>2219</v>
      </c>
      <c r="C2073" t="s">
        <v>182</v>
      </c>
      <c r="D2073" t="s">
        <v>120</v>
      </c>
      <c r="E2073" t="s">
        <v>121</v>
      </c>
      <c r="F2073" s="2">
        <v>90</v>
      </c>
    </row>
    <row r="2074" spans="1:6">
      <c r="A2074" s="1">
        <v>43681</v>
      </c>
      <c r="B2074" t="s">
        <v>2220</v>
      </c>
      <c r="C2074" t="s">
        <v>143</v>
      </c>
      <c r="D2074" t="s">
        <v>126</v>
      </c>
      <c r="E2074" t="s">
        <v>153</v>
      </c>
      <c r="F2074" s="2">
        <v>160</v>
      </c>
    </row>
    <row r="2075" spans="1:6">
      <c r="A2075" s="1">
        <v>43681</v>
      </c>
      <c r="B2075" t="s">
        <v>2221</v>
      </c>
      <c r="C2075" t="s">
        <v>136</v>
      </c>
      <c r="D2075" t="s">
        <v>133</v>
      </c>
      <c r="E2075" t="s">
        <v>153</v>
      </c>
      <c r="F2075" s="2">
        <v>30</v>
      </c>
    </row>
    <row r="2076" spans="1:6">
      <c r="A2076" s="1">
        <v>43681</v>
      </c>
      <c r="B2076" t="s">
        <v>2222</v>
      </c>
      <c r="C2076" t="s">
        <v>138</v>
      </c>
      <c r="D2076" t="s">
        <v>141</v>
      </c>
      <c r="E2076" t="s">
        <v>153</v>
      </c>
      <c r="F2076" s="2">
        <v>180</v>
      </c>
    </row>
    <row r="2077" spans="1:6">
      <c r="A2077" s="1">
        <v>43682</v>
      </c>
      <c r="B2077" t="s">
        <v>2223</v>
      </c>
      <c r="C2077" t="s">
        <v>223</v>
      </c>
      <c r="D2077" t="s">
        <v>120</v>
      </c>
      <c r="E2077" t="s">
        <v>131</v>
      </c>
      <c r="F2077" s="2">
        <v>90</v>
      </c>
    </row>
    <row r="2078" spans="1:6">
      <c r="A2078" s="1">
        <v>43682</v>
      </c>
      <c r="B2078" t="s">
        <v>2224</v>
      </c>
      <c r="C2078" t="s">
        <v>223</v>
      </c>
      <c r="D2078" t="s">
        <v>120</v>
      </c>
      <c r="E2078" t="s">
        <v>131</v>
      </c>
      <c r="F2078" s="2">
        <v>90</v>
      </c>
    </row>
    <row r="2079" spans="1:6">
      <c r="A2079" s="1">
        <v>43682</v>
      </c>
      <c r="B2079" t="s">
        <v>2225</v>
      </c>
      <c r="C2079" t="s">
        <v>182</v>
      </c>
      <c r="D2079" t="s">
        <v>133</v>
      </c>
      <c r="E2079" t="s">
        <v>131</v>
      </c>
      <c r="F2079" s="2">
        <v>30</v>
      </c>
    </row>
    <row r="2080" spans="1:6">
      <c r="A2080" s="1">
        <v>43682</v>
      </c>
      <c r="B2080" t="s">
        <v>2226</v>
      </c>
      <c r="C2080" t="s">
        <v>136</v>
      </c>
      <c r="D2080" t="s">
        <v>120</v>
      </c>
      <c r="E2080" t="s">
        <v>153</v>
      </c>
      <c r="F2080" s="2">
        <v>90</v>
      </c>
    </row>
    <row r="2081" spans="1:6">
      <c r="A2081" s="1">
        <v>43682</v>
      </c>
      <c r="B2081" t="s">
        <v>2227</v>
      </c>
      <c r="C2081" t="s">
        <v>187</v>
      </c>
      <c r="D2081" t="s">
        <v>159</v>
      </c>
      <c r="E2081" t="s">
        <v>121</v>
      </c>
      <c r="F2081" s="2">
        <v>150</v>
      </c>
    </row>
    <row r="2082" spans="1:6">
      <c r="A2082" s="1">
        <v>43682</v>
      </c>
      <c r="B2082" t="s">
        <v>2228</v>
      </c>
      <c r="C2082" t="s">
        <v>152</v>
      </c>
      <c r="D2082" t="s">
        <v>139</v>
      </c>
      <c r="E2082" t="s">
        <v>127</v>
      </c>
      <c r="F2082" s="2">
        <v>80</v>
      </c>
    </row>
    <row r="2083" spans="1:6">
      <c r="A2083" s="1">
        <v>43682</v>
      </c>
      <c r="B2083" t="s">
        <v>2229</v>
      </c>
      <c r="C2083" t="s">
        <v>182</v>
      </c>
      <c r="D2083" t="s">
        <v>159</v>
      </c>
      <c r="E2083" t="s">
        <v>121</v>
      </c>
      <c r="F2083" s="2">
        <v>150</v>
      </c>
    </row>
    <row r="2084" spans="1:6">
      <c r="A2084" s="1">
        <v>43682</v>
      </c>
      <c r="B2084" t="s">
        <v>2230</v>
      </c>
      <c r="C2084" t="s">
        <v>119</v>
      </c>
      <c r="D2084" t="s">
        <v>126</v>
      </c>
      <c r="E2084" t="s">
        <v>121</v>
      </c>
      <c r="F2084" s="2">
        <v>160</v>
      </c>
    </row>
    <row r="2085" spans="1:6">
      <c r="A2085" s="1">
        <v>43682</v>
      </c>
      <c r="B2085" t="s">
        <v>2231</v>
      </c>
      <c r="C2085" t="s">
        <v>129</v>
      </c>
      <c r="D2085" t="s">
        <v>146</v>
      </c>
      <c r="E2085" t="s">
        <v>134</v>
      </c>
      <c r="F2085" s="2">
        <v>50</v>
      </c>
    </row>
    <row r="2086" spans="1:6">
      <c r="A2086" s="1">
        <v>43682</v>
      </c>
      <c r="B2086" t="s">
        <v>2232</v>
      </c>
      <c r="C2086" t="s">
        <v>119</v>
      </c>
      <c r="D2086" t="s">
        <v>141</v>
      </c>
      <c r="E2086" t="s">
        <v>127</v>
      </c>
      <c r="F2086" s="2">
        <v>180</v>
      </c>
    </row>
    <row r="2087" spans="1:6">
      <c r="A2087" s="1">
        <v>43683</v>
      </c>
      <c r="B2087" t="s">
        <v>2233</v>
      </c>
      <c r="C2087" t="s">
        <v>119</v>
      </c>
      <c r="D2087" t="s">
        <v>133</v>
      </c>
      <c r="E2087" t="s">
        <v>131</v>
      </c>
      <c r="F2087" s="2">
        <v>30</v>
      </c>
    </row>
    <row r="2088" spans="1:6">
      <c r="A2088" s="1">
        <v>43683</v>
      </c>
      <c r="B2088" t="s">
        <v>2234</v>
      </c>
      <c r="C2088" t="s">
        <v>143</v>
      </c>
      <c r="D2088" t="s">
        <v>146</v>
      </c>
      <c r="E2088" t="s">
        <v>131</v>
      </c>
      <c r="F2088" s="2">
        <v>50</v>
      </c>
    </row>
    <row r="2089" spans="1:6">
      <c r="A2089" s="1">
        <v>43683</v>
      </c>
      <c r="B2089" t="s">
        <v>2235</v>
      </c>
      <c r="C2089" t="s">
        <v>223</v>
      </c>
      <c r="D2089" t="s">
        <v>159</v>
      </c>
      <c r="E2089" t="s">
        <v>153</v>
      </c>
      <c r="F2089" s="2">
        <v>150</v>
      </c>
    </row>
    <row r="2090" spans="1:6">
      <c r="A2090" s="1">
        <v>43683</v>
      </c>
      <c r="B2090" t="s">
        <v>2236</v>
      </c>
      <c r="C2090" t="s">
        <v>125</v>
      </c>
      <c r="D2090" t="s">
        <v>159</v>
      </c>
      <c r="E2090" t="s">
        <v>134</v>
      </c>
      <c r="F2090" s="2">
        <v>150</v>
      </c>
    </row>
    <row r="2091" spans="1:6">
      <c r="A2091" s="1">
        <v>43683</v>
      </c>
      <c r="B2091" t="s">
        <v>2237</v>
      </c>
      <c r="C2091" t="s">
        <v>119</v>
      </c>
      <c r="D2091" t="s">
        <v>139</v>
      </c>
      <c r="E2091" t="s">
        <v>131</v>
      </c>
      <c r="F2091" s="2">
        <v>80</v>
      </c>
    </row>
    <row r="2092" spans="1:6">
      <c r="A2092" s="1">
        <v>43683</v>
      </c>
      <c r="B2092" t="s">
        <v>2238</v>
      </c>
      <c r="C2092" t="s">
        <v>189</v>
      </c>
      <c r="D2092" t="s">
        <v>133</v>
      </c>
      <c r="E2092" t="s">
        <v>121</v>
      </c>
      <c r="F2092" s="2">
        <v>30</v>
      </c>
    </row>
    <row r="2093" spans="1:6">
      <c r="A2093" s="1">
        <v>43683</v>
      </c>
      <c r="B2093" t="s">
        <v>2239</v>
      </c>
      <c r="C2093" t="s">
        <v>182</v>
      </c>
      <c r="D2093" t="s">
        <v>133</v>
      </c>
      <c r="E2093" t="s">
        <v>134</v>
      </c>
      <c r="F2093" s="2">
        <v>30</v>
      </c>
    </row>
    <row r="2094" spans="1:6">
      <c r="A2094" s="1">
        <v>43683</v>
      </c>
      <c r="B2094" t="s">
        <v>2240</v>
      </c>
      <c r="C2094" t="s">
        <v>148</v>
      </c>
      <c r="D2094" t="s">
        <v>159</v>
      </c>
      <c r="E2094" t="s">
        <v>134</v>
      </c>
      <c r="F2094" s="2">
        <v>150</v>
      </c>
    </row>
    <row r="2095" spans="1:6">
      <c r="A2095" s="1">
        <v>43683</v>
      </c>
      <c r="B2095" t="s">
        <v>2241</v>
      </c>
      <c r="C2095" t="s">
        <v>157</v>
      </c>
      <c r="D2095" t="s">
        <v>139</v>
      </c>
      <c r="E2095" t="s">
        <v>153</v>
      </c>
      <c r="F2095" s="2">
        <v>80</v>
      </c>
    </row>
    <row r="2096" spans="1:6">
      <c r="A2096" s="1">
        <v>43683</v>
      </c>
      <c r="B2096" t="s">
        <v>2242</v>
      </c>
      <c r="C2096" t="s">
        <v>125</v>
      </c>
      <c r="D2096" t="s">
        <v>141</v>
      </c>
      <c r="E2096" t="s">
        <v>121</v>
      </c>
      <c r="F2096" s="2">
        <v>180</v>
      </c>
    </row>
    <row r="2097" spans="1:6">
      <c r="A2097" s="1">
        <v>43683</v>
      </c>
      <c r="B2097" t="s">
        <v>2243</v>
      </c>
      <c r="C2097" t="s">
        <v>123</v>
      </c>
      <c r="D2097" t="s">
        <v>159</v>
      </c>
      <c r="E2097" t="s">
        <v>127</v>
      </c>
      <c r="F2097" s="2">
        <v>150</v>
      </c>
    </row>
    <row r="2098" spans="1:6">
      <c r="A2098" s="1">
        <v>43683</v>
      </c>
      <c r="B2098" t="s">
        <v>2244</v>
      </c>
      <c r="C2098" t="s">
        <v>182</v>
      </c>
      <c r="D2098" t="s">
        <v>146</v>
      </c>
      <c r="E2098" t="s">
        <v>153</v>
      </c>
      <c r="F2098" s="2">
        <v>50</v>
      </c>
    </row>
    <row r="2099" spans="1:6">
      <c r="A2099" s="1">
        <v>43683</v>
      </c>
      <c r="B2099" t="s">
        <v>2245</v>
      </c>
      <c r="C2099" t="s">
        <v>123</v>
      </c>
      <c r="D2099" t="s">
        <v>139</v>
      </c>
      <c r="E2099" t="s">
        <v>131</v>
      </c>
      <c r="F2099" s="2">
        <v>80</v>
      </c>
    </row>
    <row r="2100" spans="1:6">
      <c r="A2100" s="1">
        <v>43683</v>
      </c>
      <c r="B2100" t="s">
        <v>2246</v>
      </c>
      <c r="C2100" t="s">
        <v>129</v>
      </c>
      <c r="D2100" t="s">
        <v>159</v>
      </c>
      <c r="E2100" t="s">
        <v>131</v>
      </c>
      <c r="F2100" s="2">
        <v>150</v>
      </c>
    </row>
    <row r="2101" spans="1:6">
      <c r="A2101" s="1">
        <v>43683</v>
      </c>
      <c r="B2101" t="s">
        <v>2247</v>
      </c>
      <c r="C2101" t="s">
        <v>187</v>
      </c>
      <c r="D2101" t="s">
        <v>126</v>
      </c>
      <c r="E2101" t="s">
        <v>153</v>
      </c>
      <c r="F2101" s="2">
        <v>160</v>
      </c>
    </row>
    <row r="2102" spans="1:6">
      <c r="A2102" s="1">
        <v>43683</v>
      </c>
      <c r="B2102" t="s">
        <v>2248</v>
      </c>
      <c r="C2102" t="s">
        <v>152</v>
      </c>
      <c r="D2102" t="s">
        <v>159</v>
      </c>
      <c r="E2102" t="s">
        <v>131</v>
      </c>
      <c r="F2102" s="2">
        <v>150</v>
      </c>
    </row>
    <row r="2103" spans="1:6">
      <c r="A2103" s="1">
        <v>43684</v>
      </c>
      <c r="B2103" t="s">
        <v>2249</v>
      </c>
      <c r="C2103" t="s">
        <v>129</v>
      </c>
      <c r="D2103" t="s">
        <v>133</v>
      </c>
      <c r="E2103" t="s">
        <v>121</v>
      </c>
      <c r="F2103" s="2">
        <v>30</v>
      </c>
    </row>
    <row r="2104" spans="1:6">
      <c r="A2104" s="1">
        <v>43684</v>
      </c>
      <c r="B2104" t="s">
        <v>2250</v>
      </c>
      <c r="C2104" t="s">
        <v>145</v>
      </c>
      <c r="D2104" t="s">
        <v>139</v>
      </c>
      <c r="E2104" t="s">
        <v>131</v>
      </c>
      <c r="F2104" s="2">
        <v>80</v>
      </c>
    </row>
    <row r="2105" spans="1:6">
      <c r="A2105" s="1">
        <v>43684</v>
      </c>
      <c r="B2105" t="s">
        <v>2251</v>
      </c>
      <c r="C2105" t="s">
        <v>138</v>
      </c>
      <c r="D2105" t="s">
        <v>120</v>
      </c>
      <c r="E2105" t="s">
        <v>153</v>
      </c>
      <c r="F2105" s="2">
        <v>90</v>
      </c>
    </row>
    <row r="2106" spans="1:6">
      <c r="A2106" s="1">
        <v>43684</v>
      </c>
      <c r="B2106" t="s">
        <v>2252</v>
      </c>
      <c r="C2106" t="s">
        <v>167</v>
      </c>
      <c r="D2106" t="s">
        <v>146</v>
      </c>
      <c r="E2106" t="s">
        <v>134</v>
      </c>
      <c r="F2106" s="2">
        <v>50</v>
      </c>
    </row>
    <row r="2107" spans="1:6">
      <c r="A2107" s="1">
        <v>43684</v>
      </c>
      <c r="B2107" t="s">
        <v>2253</v>
      </c>
      <c r="C2107" t="s">
        <v>164</v>
      </c>
      <c r="D2107" t="s">
        <v>126</v>
      </c>
      <c r="E2107" t="s">
        <v>131</v>
      </c>
      <c r="F2107" s="2">
        <v>160</v>
      </c>
    </row>
    <row r="2108" spans="1:6">
      <c r="A2108" s="1">
        <v>43684</v>
      </c>
      <c r="B2108" t="s">
        <v>2254</v>
      </c>
      <c r="C2108" t="s">
        <v>152</v>
      </c>
      <c r="D2108" t="s">
        <v>146</v>
      </c>
      <c r="E2108" t="s">
        <v>134</v>
      </c>
      <c r="F2108" s="2">
        <v>50</v>
      </c>
    </row>
    <row r="2109" spans="1:6">
      <c r="A2109" s="1">
        <v>43684</v>
      </c>
      <c r="B2109" t="s">
        <v>2255</v>
      </c>
      <c r="C2109" t="s">
        <v>223</v>
      </c>
      <c r="D2109" t="s">
        <v>126</v>
      </c>
      <c r="E2109" t="s">
        <v>121</v>
      </c>
      <c r="F2109" s="2">
        <v>160</v>
      </c>
    </row>
    <row r="2110" spans="1:6">
      <c r="A2110" s="1">
        <v>43685</v>
      </c>
      <c r="B2110" t="s">
        <v>2256</v>
      </c>
      <c r="C2110" t="s">
        <v>148</v>
      </c>
      <c r="D2110" t="s">
        <v>141</v>
      </c>
      <c r="E2110" t="s">
        <v>127</v>
      </c>
      <c r="F2110" s="2">
        <v>180</v>
      </c>
    </row>
    <row r="2111" spans="1:6">
      <c r="A2111" s="1">
        <v>43685</v>
      </c>
      <c r="B2111" t="s">
        <v>2257</v>
      </c>
      <c r="C2111" t="s">
        <v>223</v>
      </c>
      <c r="D2111" t="s">
        <v>146</v>
      </c>
      <c r="E2111" t="s">
        <v>131</v>
      </c>
      <c r="F2111" s="2">
        <v>50</v>
      </c>
    </row>
    <row r="2112" spans="1:6">
      <c r="A2112" s="1">
        <v>43685</v>
      </c>
      <c r="B2112" t="s">
        <v>2258</v>
      </c>
      <c r="C2112" t="s">
        <v>223</v>
      </c>
      <c r="D2112" t="s">
        <v>126</v>
      </c>
      <c r="E2112" t="s">
        <v>121</v>
      </c>
      <c r="F2112" s="2">
        <v>160</v>
      </c>
    </row>
    <row r="2113" spans="1:6">
      <c r="A2113" s="1">
        <v>43685</v>
      </c>
      <c r="B2113" t="s">
        <v>2259</v>
      </c>
      <c r="C2113" t="s">
        <v>152</v>
      </c>
      <c r="D2113" t="s">
        <v>146</v>
      </c>
      <c r="E2113" t="s">
        <v>127</v>
      </c>
      <c r="F2113" s="2">
        <v>50</v>
      </c>
    </row>
    <row r="2114" spans="1:6">
      <c r="A2114" s="1">
        <v>43685</v>
      </c>
      <c r="B2114" t="s">
        <v>2260</v>
      </c>
      <c r="C2114" t="s">
        <v>164</v>
      </c>
      <c r="D2114" t="s">
        <v>120</v>
      </c>
      <c r="E2114" t="s">
        <v>131</v>
      </c>
      <c r="F2114" s="2">
        <v>90</v>
      </c>
    </row>
    <row r="2115" spans="1:6">
      <c r="A2115" s="1">
        <v>43685</v>
      </c>
      <c r="B2115" t="s">
        <v>2261</v>
      </c>
      <c r="C2115" t="s">
        <v>223</v>
      </c>
      <c r="D2115" t="s">
        <v>126</v>
      </c>
      <c r="E2115" t="s">
        <v>121</v>
      </c>
      <c r="F2115" s="2">
        <v>160</v>
      </c>
    </row>
    <row r="2116" spans="1:6">
      <c r="A2116" s="1">
        <v>43685</v>
      </c>
      <c r="B2116" t="s">
        <v>2262</v>
      </c>
      <c r="C2116" t="s">
        <v>119</v>
      </c>
      <c r="D2116" t="s">
        <v>133</v>
      </c>
      <c r="E2116" t="s">
        <v>121</v>
      </c>
      <c r="F2116" s="2">
        <v>30</v>
      </c>
    </row>
    <row r="2117" spans="1:6">
      <c r="A2117" s="1">
        <v>43685</v>
      </c>
      <c r="B2117" t="s">
        <v>2263</v>
      </c>
      <c r="C2117" t="s">
        <v>182</v>
      </c>
      <c r="D2117" t="s">
        <v>141</v>
      </c>
      <c r="E2117" t="s">
        <v>131</v>
      </c>
      <c r="F2117" s="2">
        <v>180</v>
      </c>
    </row>
    <row r="2118" spans="1:6">
      <c r="A2118" s="1">
        <v>43685</v>
      </c>
      <c r="B2118" t="s">
        <v>2264</v>
      </c>
      <c r="C2118" t="s">
        <v>119</v>
      </c>
      <c r="D2118" t="s">
        <v>139</v>
      </c>
      <c r="E2118" t="s">
        <v>134</v>
      </c>
      <c r="F2118" s="2">
        <v>80</v>
      </c>
    </row>
    <row r="2119" spans="1:6">
      <c r="A2119" s="1">
        <v>43686</v>
      </c>
      <c r="B2119" t="s">
        <v>2265</v>
      </c>
      <c r="C2119" t="s">
        <v>189</v>
      </c>
      <c r="D2119" t="s">
        <v>126</v>
      </c>
      <c r="E2119" t="s">
        <v>121</v>
      </c>
      <c r="F2119" s="2">
        <v>160</v>
      </c>
    </row>
    <row r="2120" spans="1:6">
      <c r="A2120" s="1">
        <v>43686</v>
      </c>
      <c r="B2120" t="s">
        <v>2266</v>
      </c>
      <c r="C2120" t="s">
        <v>145</v>
      </c>
      <c r="D2120" t="s">
        <v>133</v>
      </c>
      <c r="E2120" t="s">
        <v>127</v>
      </c>
      <c r="F2120" s="2">
        <v>30</v>
      </c>
    </row>
    <row r="2121" spans="1:6">
      <c r="A2121" s="1">
        <v>43686</v>
      </c>
      <c r="B2121" t="s">
        <v>2267</v>
      </c>
      <c r="C2121" t="s">
        <v>123</v>
      </c>
      <c r="D2121" t="s">
        <v>141</v>
      </c>
      <c r="E2121" t="s">
        <v>134</v>
      </c>
      <c r="F2121" s="2">
        <v>180</v>
      </c>
    </row>
    <row r="2122" spans="1:6">
      <c r="A2122" s="1">
        <v>43686</v>
      </c>
      <c r="B2122" t="s">
        <v>2268</v>
      </c>
      <c r="C2122" t="s">
        <v>189</v>
      </c>
      <c r="D2122" t="s">
        <v>120</v>
      </c>
      <c r="E2122" t="s">
        <v>131</v>
      </c>
      <c r="F2122" s="2">
        <v>90</v>
      </c>
    </row>
    <row r="2123" spans="1:6">
      <c r="A2123" s="1">
        <v>43686</v>
      </c>
      <c r="B2123" t="s">
        <v>2269</v>
      </c>
      <c r="C2123" t="s">
        <v>223</v>
      </c>
      <c r="D2123" t="s">
        <v>126</v>
      </c>
      <c r="E2123" t="s">
        <v>134</v>
      </c>
      <c r="F2123" s="2">
        <v>160</v>
      </c>
    </row>
    <row r="2124" spans="1:6">
      <c r="A2124" s="1">
        <v>43686</v>
      </c>
      <c r="B2124" t="s">
        <v>2270</v>
      </c>
      <c r="C2124" t="s">
        <v>152</v>
      </c>
      <c r="D2124" t="s">
        <v>126</v>
      </c>
      <c r="E2124" t="s">
        <v>121</v>
      </c>
      <c r="F2124" s="2">
        <v>160</v>
      </c>
    </row>
    <row r="2125" spans="1:6">
      <c r="A2125" s="1">
        <v>43686</v>
      </c>
      <c r="B2125" t="s">
        <v>2271</v>
      </c>
      <c r="C2125" t="s">
        <v>148</v>
      </c>
      <c r="D2125" t="s">
        <v>159</v>
      </c>
      <c r="E2125" t="s">
        <v>153</v>
      </c>
      <c r="F2125" s="2">
        <v>150</v>
      </c>
    </row>
    <row r="2126" spans="1:6">
      <c r="A2126" s="1">
        <v>43686</v>
      </c>
      <c r="B2126" t="s">
        <v>2272</v>
      </c>
      <c r="C2126" t="s">
        <v>152</v>
      </c>
      <c r="D2126" t="s">
        <v>120</v>
      </c>
      <c r="E2126" t="s">
        <v>127</v>
      </c>
      <c r="F2126" s="2">
        <v>90</v>
      </c>
    </row>
    <row r="2127" spans="1:6">
      <c r="A2127" s="1">
        <v>43686</v>
      </c>
      <c r="B2127" t="s">
        <v>2273</v>
      </c>
      <c r="C2127" t="s">
        <v>119</v>
      </c>
      <c r="D2127" t="s">
        <v>120</v>
      </c>
      <c r="E2127" t="s">
        <v>121</v>
      </c>
      <c r="F2127" s="2">
        <v>90</v>
      </c>
    </row>
    <row r="2128" spans="1:6">
      <c r="A2128" s="1">
        <v>43686</v>
      </c>
      <c r="B2128" t="s">
        <v>2274</v>
      </c>
      <c r="C2128" t="s">
        <v>138</v>
      </c>
      <c r="D2128" t="s">
        <v>146</v>
      </c>
      <c r="E2128" t="s">
        <v>127</v>
      </c>
      <c r="F2128" s="2">
        <v>50</v>
      </c>
    </row>
    <row r="2129" spans="1:6">
      <c r="A2129" s="1">
        <v>43686</v>
      </c>
      <c r="B2129" t="s">
        <v>2275</v>
      </c>
      <c r="C2129" t="s">
        <v>119</v>
      </c>
      <c r="D2129" t="s">
        <v>126</v>
      </c>
      <c r="E2129" t="s">
        <v>127</v>
      </c>
      <c r="F2129" s="2">
        <v>160</v>
      </c>
    </row>
    <row r="2130" spans="1:6">
      <c r="A2130" s="1">
        <v>43686</v>
      </c>
      <c r="B2130" t="s">
        <v>2276</v>
      </c>
      <c r="C2130" t="s">
        <v>145</v>
      </c>
      <c r="D2130" t="s">
        <v>141</v>
      </c>
      <c r="E2130" t="s">
        <v>127</v>
      </c>
      <c r="F2130" s="2">
        <v>180</v>
      </c>
    </row>
    <row r="2131" spans="1:6">
      <c r="A2131" s="1">
        <v>43686</v>
      </c>
      <c r="B2131" t="s">
        <v>2277</v>
      </c>
      <c r="C2131" t="s">
        <v>145</v>
      </c>
      <c r="D2131" t="s">
        <v>133</v>
      </c>
      <c r="E2131" t="s">
        <v>153</v>
      </c>
      <c r="F2131" s="2">
        <v>30</v>
      </c>
    </row>
    <row r="2132" spans="1:6">
      <c r="A2132" s="1">
        <v>43686</v>
      </c>
      <c r="B2132" t="s">
        <v>2278</v>
      </c>
      <c r="C2132" t="s">
        <v>143</v>
      </c>
      <c r="D2132" t="s">
        <v>130</v>
      </c>
      <c r="E2132" t="s">
        <v>131</v>
      </c>
      <c r="F2132" s="2">
        <v>100</v>
      </c>
    </row>
    <row r="2133" spans="1:6">
      <c r="A2133" s="1">
        <v>43686</v>
      </c>
      <c r="B2133" t="s">
        <v>2279</v>
      </c>
      <c r="C2133" t="s">
        <v>164</v>
      </c>
      <c r="D2133" t="s">
        <v>133</v>
      </c>
      <c r="E2133" t="s">
        <v>131</v>
      </c>
      <c r="F2133" s="2">
        <v>30</v>
      </c>
    </row>
    <row r="2134" spans="1:6">
      <c r="A2134" s="1">
        <v>43686</v>
      </c>
      <c r="B2134" t="s">
        <v>2280</v>
      </c>
      <c r="C2134" t="s">
        <v>119</v>
      </c>
      <c r="D2134" t="s">
        <v>130</v>
      </c>
      <c r="E2134" t="s">
        <v>153</v>
      </c>
      <c r="F2134" s="2">
        <v>100</v>
      </c>
    </row>
    <row r="2135" spans="1:6">
      <c r="A2135" s="1">
        <v>43687</v>
      </c>
      <c r="B2135" t="s">
        <v>2281</v>
      </c>
      <c r="C2135" t="s">
        <v>123</v>
      </c>
      <c r="D2135" t="s">
        <v>139</v>
      </c>
      <c r="E2135" t="s">
        <v>153</v>
      </c>
      <c r="F2135" s="2">
        <v>80</v>
      </c>
    </row>
    <row r="2136" spans="1:6">
      <c r="A2136" s="1">
        <v>43687</v>
      </c>
      <c r="B2136" t="s">
        <v>2282</v>
      </c>
      <c r="C2136" t="s">
        <v>123</v>
      </c>
      <c r="D2136" t="s">
        <v>126</v>
      </c>
      <c r="E2136" t="s">
        <v>134</v>
      </c>
      <c r="F2136" s="2">
        <v>160</v>
      </c>
    </row>
    <row r="2137" spans="1:6">
      <c r="A2137" s="1">
        <v>43687</v>
      </c>
      <c r="B2137" t="s">
        <v>2283</v>
      </c>
      <c r="C2137" t="s">
        <v>187</v>
      </c>
      <c r="D2137" t="s">
        <v>146</v>
      </c>
      <c r="E2137" t="s">
        <v>127</v>
      </c>
      <c r="F2137" s="2">
        <v>50</v>
      </c>
    </row>
    <row r="2138" spans="1:6">
      <c r="A2138" s="1">
        <v>43687</v>
      </c>
      <c r="B2138" t="s">
        <v>2284</v>
      </c>
      <c r="C2138" t="s">
        <v>123</v>
      </c>
      <c r="D2138" t="s">
        <v>120</v>
      </c>
      <c r="E2138" t="s">
        <v>121</v>
      </c>
      <c r="F2138" s="2">
        <v>90</v>
      </c>
    </row>
    <row r="2139" spans="1:6">
      <c r="A2139" s="1">
        <v>43687</v>
      </c>
      <c r="B2139" t="s">
        <v>2285</v>
      </c>
      <c r="C2139" t="s">
        <v>223</v>
      </c>
      <c r="D2139" t="s">
        <v>130</v>
      </c>
      <c r="E2139" t="s">
        <v>121</v>
      </c>
      <c r="F2139" s="2">
        <v>100</v>
      </c>
    </row>
    <row r="2140" spans="1:6">
      <c r="A2140" s="1">
        <v>43687</v>
      </c>
      <c r="B2140" t="s">
        <v>2286</v>
      </c>
      <c r="C2140" t="s">
        <v>187</v>
      </c>
      <c r="D2140" t="s">
        <v>141</v>
      </c>
      <c r="E2140" t="s">
        <v>127</v>
      </c>
      <c r="F2140" s="2">
        <v>180</v>
      </c>
    </row>
    <row r="2141" spans="1:6">
      <c r="A2141" s="1">
        <v>43687</v>
      </c>
      <c r="B2141" t="s">
        <v>2287</v>
      </c>
      <c r="C2141" t="s">
        <v>157</v>
      </c>
      <c r="D2141" t="s">
        <v>139</v>
      </c>
      <c r="E2141" t="s">
        <v>134</v>
      </c>
      <c r="F2141" s="2">
        <v>80</v>
      </c>
    </row>
    <row r="2142" spans="1:6">
      <c r="A2142" s="1">
        <v>43687</v>
      </c>
      <c r="B2142" t="s">
        <v>2288</v>
      </c>
      <c r="C2142" t="s">
        <v>182</v>
      </c>
      <c r="D2142" t="s">
        <v>139</v>
      </c>
      <c r="E2142" t="s">
        <v>131</v>
      </c>
      <c r="F2142" s="2">
        <v>80</v>
      </c>
    </row>
    <row r="2143" spans="1:6">
      <c r="A2143" s="1">
        <v>43687</v>
      </c>
      <c r="B2143" t="s">
        <v>2289</v>
      </c>
      <c r="C2143" t="s">
        <v>182</v>
      </c>
      <c r="D2143" t="s">
        <v>126</v>
      </c>
      <c r="E2143" t="s">
        <v>131</v>
      </c>
      <c r="F2143" s="2">
        <v>160</v>
      </c>
    </row>
    <row r="2144" spans="1:6">
      <c r="A2144" s="1">
        <v>43688</v>
      </c>
      <c r="B2144" t="s">
        <v>2290</v>
      </c>
      <c r="C2144" t="s">
        <v>143</v>
      </c>
      <c r="D2144" t="s">
        <v>120</v>
      </c>
      <c r="E2144" t="s">
        <v>153</v>
      </c>
      <c r="F2144" s="2">
        <v>90</v>
      </c>
    </row>
    <row r="2145" spans="1:6">
      <c r="A2145" s="1">
        <v>43688</v>
      </c>
      <c r="B2145" t="s">
        <v>2291</v>
      </c>
      <c r="C2145" t="s">
        <v>138</v>
      </c>
      <c r="D2145" t="s">
        <v>159</v>
      </c>
      <c r="E2145" t="s">
        <v>134</v>
      </c>
      <c r="F2145" s="2">
        <v>150</v>
      </c>
    </row>
    <row r="2146" spans="1:6">
      <c r="A2146" s="1">
        <v>43688</v>
      </c>
      <c r="B2146" t="s">
        <v>2292</v>
      </c>
      <c r="C2146" t="s">
        <v>182</v>
      </c>
      <c r="D2146" t="s">
        <v>146</v>
      </c>
      <c r="E2146" t="s">
        <v>134</v>
      </c>
      <c r="F2146" s="2">
        <v>50</v>
      </c>
    </row>
    <row r="2147" spans="1:6">
      <c r="A2147" s="1">
        <v>43688</v>
      </c>
      <c r="B2147" t="s">
        <v>2293</v>
      </c>
      <c r="C2147" t="s">
        <v>164</v>
      </c>
      <c r="D2147" t="s">
        <v>133</v>
      </c>
      <c r="E2147" t="s">
        <v>134</v>
      </c>
      <c r="F2147" s="2">
        <v>30</v>
      </c>
    </row>
    <row r="2148" spans="1:6">
      <c r="A2148" s="1">
        <v>43688</v>
      </c>
      <c r="B2148" t="s">
        <v>2294</v>
      </c>
      <c r="C2148" t="s">
        <v>152</v>
      </c>
      <c r="D2148" t="s">
        <v>120</v>
      </c>
      <c r="E2148" t="s">
        <v>131</v>
      </c>
      <c r="F2148" s="2">
        <v>90</v>
      </c>
    </row>
    <row r="2149" spans="1:6">
      <c r="A2149" s="1">
        <v>43689</v>
      </c>
      <c r="B2149" t="s">
        <v>2295</v>
      </c>
      <c r="C2149" t="s">
        <v>167</v>
      </c>
      <c r="D2149" t="s">
        <v>139</v>
      </c>
      <c r="E2149" t="s">
        <v>153</v>
      </c>
      <c r="F2149" s="2">
        <v>80</v>
      </c>
    </row>
    <row r="2150" spans="1:6">
      <c r="A2150" s="1">
        <v>43689</v>
      </c>
      <c r="B2150" t="s">
        <v>2296</v>
      </c>
      <c r="C2150" t="s">
        <v>129</v>
      </c>
      <c r="D2150" t="s">
        <v>126</v>
      </c>
      <c r="E2150" t="s">
        <v>131</v>
      </c>
      <c r="F2150" s="2">
        <v>160</v>
      </c>
    </row>
    <row r="2151" spans="1:6">
      <c r="A2151" s="1">
        <v>43689</v>
      </c>
      <c r="B2151" t="s">
        <v>2297</v>
      </c>
      <c r="C2151" t="s">
        <v>129</v>
      </c>
      <c r="D2151" t="s">
        <v>146</v>
      </c>
      <c r="E2151" t="s">
        <v>121</v>
      </c>
      <c r="F2151" s="2">
        <v>50</v>
      </c>
    </row>
    <row r="2152" spans="1:6">
      <c r="A2152" s="1">
        <v>43689</v>
      </c>
      <c r="B2152" t="s">
        <v>2298</v>
      </c>
      <c r="C2152" t="s">
        <v>189</v>
      </c>
      <c r="D2152" t="s">
        <v>130</v>
      </c>
      <c r="E2152" t="s">
        <v>131</v>
      </c>
      <c r="F2152" s="2">
        <v>100</v>
      </c>
    </row>
    <row r="2153" spans="1:6">
      <c r="A2153" s="1">
        <v>43690</v>
      </c>
      <c r="B2153" t="s">
        <v>2299</v>
      </c>
      <c r="C2153" t="s">
        <v>187</v>
      </c>
      <c r="D2153" t="s">
        <v>133</v>
      </c>
      <c r="E2153" t="s">
        <v>131</v>
      </c>
      <c r="F2153" s="2">
        <v>30</v>
      </c>
    </row>
    <row r="2154" spans="1:6">
      <c r="A2154" s="1">
        <v>43690</v>
      </c>
      <c r="B2154" t="s">
        <v>2300</v>
      </c>
      <c r="C2154" t="s">
        <v>223</v>
      </c>
      <c r="D2154" t="s">
        <v>146</v>
      </c>
      <c r="E2154" t="s">
        <v>127</v>
      </c>
      <c r="F2154" s="2">
        <v>50</v>
      </c>
    </row>
    <row r="2155" spans="1:6">
      <c r="A2155" s="1">
        <v>43690</v>
      </c>
      <c r="B2155" t="s">
        <v>2301</v>
      </c>
      <c r="C2155" t="s">
        <v>157</v>
      </c>
      <c r="D2155" t="s">
        <v>126</v>
      </c>
      <c r="E2155" t="s">
        <v>153</v>
      </c>
      <c r="F2155" s="2">
        <v>160</v>
      </c>
    </row>
    <row r="2156" spans="1:6">
      <c r="A2156" s="1">
        <v>43690</v>
      </c>
      <c r="B2156" t="s">
        <v>2302</v>
      </c>
      <c r="C2156" t="s">
        <v>119</v>
      </c>
      <c r="D2156" t="s">
        <v>130</v>
      </c>
      <c r="E2156" t="s">
        <v>131</v>
      </c>
      <c r="F2156" s="2">
        <v>100</v>
      </c>
    </row>
    <row r="2157" spans="1:6">
      <c r="A2157" s="1">
        <v>43690</v>
      </c>
      <c r="B2157" t="s">
        <v>2303</v>
      </c>
      <c r="C2157" t="s">
        <v>189</v>
      </c>
      <c r="D2157" t="s">
        <v>120</v>
      </c>
      <c r="E2157" t="s">
        <v>121</v>
      </c>
      <c r="F2157" s="2">
        <v>90</v>
      </c>
    </row>
    <row r="2158" spans="1:6">
      <c r="A2158" s="1">
        <v>43690</v>
      </c>
      <c r="B2158" t="s">
        <v>2304</v>
      </c>
      <c r="C2158" t="s">
        <v>152</v>
      </c>
      <c r="D2158" t="s">
        <v>146</v>
      </c>
      <c r="E2158" t="s">
        <v>127</v>
      </c>
      <c r="F2158" s="2">
        <v>50</v>
      </c>
    </row>
    <row r="2159" spans="1:6">
      <c r="A2159" s="1">
        <v>43690</v>
      </c>
      <c r="B2159" t="s">
        <v>2305</v>
      </c>
      <c r="C2159" t="s">
        <v>138</v>
      </c>
      <c r="D2159" t="s">
        <v>146</v>
      </c>
      <c r="E2159" t="s">
        <v>121</v>
      </c>
      <c r="F2159" s="2">
        <v>50</v>
      </c>
    </row>
    <row r="2160" spans="1:6">
      <c r="A2160" s="1">
        <v>43690</v>
      </c>
      <c r="B2160" t="s">
        <v>2306</v>
      </c>
      <c r="C2160" t="s">
        <v>152</v>
      </c>
      <c r="D2160" t="s">
        <v>141</v>
      </c>
      <c r="E2160" t="s">
        <v>134</v>
      </c>
      <c r="F2160" s="2">
        <v>180</v>
      </c>
    </row>
    <row r="2161" spans="1:6">
      <c r="A2161" s="1">
        <v>43690</v>
      </c>
      <c r="B2161" t="s">
        <v>2307</v>
      </c>
      <c r="C2161" t="s">
        <v>148</v>
      </c>
      <c r="D2161" t="s">
        <v>133</v>
      </c>
      <c r="E2161" t="s">
        <v>121</v>
      </c>
      <c r="F2161" s="2">
        <v>30</v>
      </c>
    </row>
    <row r="2162" spans="1:6">
      <c r="A2162" s="1">
        <v>43690</v>
      </c>
      <c r="B2162" t="s">
        <v>2308</v>
      </c>
      <c r="C2162" t="s">
        <v>157</v>
      </c>
      <c r="D2162" t="s">
        <v>120</v>
      </c>
      <c r="E2162" t="s">
        <v>134</v>
      </c>
      <c r="F2162" s="2">
        <v>90</v>
      </c>
    </row>
    <row r="2163" spans="1:6">
      <c r="A2163" s="1">
        <v>43690</v>
      </c>
      <c r="B2163" t="s">
        <v>2309</v>
      </c>
      <c r="C2163" t="s">
        <v>136</v>
      </c>
      <c r="D2163" t="s">
        <v>139</v>
      </c>
      <c r="E2163" t="s">
        <v>134</v>
      </c>
      <c r="F2163" s="2">
        <v>80</v>
      </c>
    </row>
    <row r="2164" spans="1:6">
      <c r="A2164" s="1">
        <v>43690</v>
      </c>
      <c r="B2164" t="s">
        <v>2310</v>
      </c>
      <c r="C2164" t="s">
        <v>136</v>
      </c>
      <c r="D2164" t="s">
        <v>146</v>
      </c>
      <c r="E2164" t="s">
        <v>131</v>
      </c>
      <c r="F2164" s="2">
        <v>50</v>
      </c>
    </row>
    <row r="2165" spans="1:6">
      <c r="A2165" s="1">
        <v>43690</v>
      </c>
      <c r="B2165" t="s">
        <v>2311</v>
      </c>
      <c r="C2165" t="s">
        <v>187</v>
      </c>
      <c r="D2165" t="s">
        <v>130</v>
      </c>
      <c r="E2165" t="s">
        <v>134</v>
      </c>
      <c r="F2165" s="2">
        <v>100</v>
      </c>
    </row>
    <row r="2166" spans="1:6">
      <c r="A2166" s="1">
        <v>43690</v>
      </c>
      <c r="B2166" t="s">
        <v>2312</v>
      </c>
      <c r="C2166" t="s">
        <v>138</v>
      </c>
      <c r="D2166" t="s">
        <v>133</v>
      </c>
      <c r="E2166" t="s">
        <v>121</v>
      </c>
      <c r="F2166" s="2">
        <v>30</v>
      </c>
    </row>
    <row r="2167" spans="1:6">
      <c r="A2167" s="1">
        <v>43690</v>
      </c>
      <c r="B2167" t="s">
        <v>2313</v>
      </c>
      <c r="C2167" t="s">
        <v>152</v>
      </c>
      <c r="D2167" t="s">
        <v>126</v>
      </c>
      <c r="E2167" t="s">
        <v>127</v>
      </c>
      <c r="F2167" s="2">
        <v>160</v>
      </c>
    </row>
    <row r="2168" spans="1:6">
      <c r="A2168" s="1">
        <v>43690</v>
      </c>
      <c r="B2168" t="s">
        <v>2314</v>
      </c>
      <c r="C2168" t="s">
        <v>189</v>
      </c>
      <c r="D2168" t="s">
        <v>139</v>
      </c>
      <c r="E2168" t="s">
        <v>131</v>
      </c>
      <c r="F2168" s="2">
        <v>80</v>
      </c>
    </row>
    <row r="2169" spans="1:6">
      <c r="A2169" s="1">
        <v>43690</v>
      </c>
      <c r="B2169" t="s">
        <v>2315</v>
      </c>
      <c r="C2169" t="s">
        <v>223</v>
      </c>
      <c r="D2169" t="s">
        <v>133</v>
      </c>
      <c r="E2169" t="s">
        <v>134</v>
      </c>
      <c r="F2169" s="2">
        <v>30</v>
      </c>
    </row>
    <row r="2170" spans="1:6">
      <c r="A2170" s="1">
        <v>43690</v>
      </c>
      <c r="B2170" t="s">
        <v>2316</v>
      </c>
      <c r="C2170" t="s">
        <v>223</v>
      </c>
      <c r="D2170" t="s">
        <v>159</v>
      </c>
      <c r="E2170" t="s">
        <v>134</v>
      </c>
      <c r="F2170" s="2">
        <v>150</v>
      </c>
    </row>
    <row r="2171" spans="1:6">
      <c r="A2171" s="1">
        <v>43691</v>
      </c>
      <c r="B2171" t="s">
        <v>2317</v>
      </c>
      <c r="C2171" t="s">
        <v>123</v>
      </c>
      <c r="D2171" t="s">
        <v>139</v>
      </c>
      <c r="E2171" t="s">
        <v>153</v>
      </c>
      <c r="F2171" s="2">
        <v>80</v>
      </c>
    </row>
    <row r="2172" spans="1:6">
      <c r="A2172" s="1">
        <v>43691</v>
      </c>
      <c r="B2172" t="s">
        <v>2318</v>
      </c>
      <c r="C2172" t="s">
        <v>138</v>
      </c>
      <c r="D2172" t="s">
        <v>146</v>
      </c>
      <c r="E2172" t="s">
        <v>127</v>
      </c>
      <c r="F2172" s="2">
        <v>50</v>
      </c>
    </row>
    <row r="2173" spans="1:6">
      <c r="A2173" s="1">
        <v>43691</v>
      </c>
      <c r="B2173" t="s">
        <v>2319</v>
      </c>
      <c r="C2173" t="s">
        <v>223</v>
      </c>
      <c r="D2173" t="s">
        <v>130</v>
      </c>
      <c r="E2173" t="s">
        <v>134</v>
      </c>
      <c r="F2173" s="2">
        <v>100</v>
      </c>
    </row>
    <row r="2174" spans="1:6">
      <c r="A2174" s="1">
        <v>43691</v>
      </c>
      <c r="B2174" t="s">
        <v>2320</v>
      </c>
      <c r="C2174" t="s">
        <v>143</v>
      </c>
      <c r="D2174" t="s">
        <v>130</v>
      </c>
      <c r="E2174" t="s">
        <v>127</v>
      </c>
      <c r="F2174" s="2">
        <v>100</v>
      </c>
    </row>
    <row r="2175" spans="1:6">
      <c r="A2175" s="1">
        <v>43691</v>
      </c>
      <c r="B2175" t="s">
        <v>2321</v>
      </c>
      <c r="C2175" t="s">
        <v>157</v>
      </c>
      <c r="D2175" t="s">
        <v>141</v>
      </c>
      <c r="E2175" t="s">
        <v>153</v>
      </c>
      <c r="F2175" s="2">
        <v>180</v>
      </c>
    </row>
    <row r="2176" spans="1:6">
      <c r="A2176" s="1">
        <v>43692</v>
      </c>
      <c r="B2176" t="s">
        <v>2322</v>
      </c>
      <c r="C2176" t="s">
        <v>129</v>
      </c>
      <c r="D2176" t="s">
        <v>130</v>
      </c>
      <c r="E2176" t="s">
        <v>127</v>
      </c>
      <c r="F2176" s="2">
        <v>100</v>
      </c>
    </row>
    <row r="2177" spans="1:6">
      <c r="A2177" s="1">
        <v>43692</v>
      </c>
      <c r="B2177" t="s">
        <v>2323</v>
      </c>
      <c r="C2177" t="s">
        <v>136</v>
      </c>
      <c r="D2177" t="s">
        <v>159</v>
      </c>
      <c r="E2177" t="s">
        <v>127</v>
      </c>
      <c r="F2177" s="2">
        <v>150</v>
      </c>
    </row>
    <row r="2178" spans="1:6">
      <c r="A2178" s="1">
        <v>43692</v>
      </c>
      <c r="B2178" t="s">
        <v>2324</v>
      </c>
      <c r="C2178" t="s">
        <v>152</v>
      </c>
      <c r="D2178" t="s">
        <v>130</v>
      </c>
      <c r="E2178" t="s">
        <v>121</v>
      </c>
      <c r="F2178" s="2">
        <v>100</v>
      </c>
    </row>
    <row r="2179" spans="1:6">
      <c r="A2179" s="1">
        <v>43692</v>
      </c>
      <c r="B2179" t="s">
        <v>2325</v>
      </c>
      <c r="C2179" t="s">
        <v>164</v>
      </c>
      <c r="D2179" t="s">
        <v>159</v>
      </c>
      <c r="E2179" t="s">
        <v>153</v>
      </c>
      <c r="F2179" s="2">
        <v>150</v>
      </c>
    </row>
    <row r="2180" spans="1:6">
      <c r="A2180" s="1">
        <v>43692</v>
      </c>
      <c r="B2180" t="s">
        <v>2326</v>
      </c>
      <c r="C2180" t="s">
        <v>136</v>
      </c>
      <c r="D2180" t="s">
        <v>146</v>
      </c>
      <c r="E2180" t="s">
        <v>127</v>
      </c>
      <c r="F2180" s="2">
        <v>50</v>
      </c>
    </row>
    <row r="2181" spans="1:6">
      <c r="A2181" s="1">
        <v>43692</v>
      </c>
      <c r="B2181" t="s">
        <v>2327</v>
      </c>
      <c r="C2181" t="s">
        <v>138</v>
      </c>
      <c r="D2181" t="s">
        <v>159</v>
      </c>
      <c r="E2181" t="s">
        <v>134</v>
      </c>
      <c r="F2181" s="2">
        <v>150</v>
      </c>
    </row>
    <row r="2182" spans="1:6">
      <c r="A2182" s="1">
        <v>43692</v>
      </c>
      <c r="B2182" t="s">
        <v>2328</v>
      </c>
      <c r="C2182" t="s">
        <v>223</v>
      </c>
      <c r="D2182" t="s">
        <v>139</v>
      </c>
      <c r="E2182" t="s">
        <v>131</v>
      </c>
      <c r="F2182" s="2">
        <v>80</v>
      </c>
    </row>
    <row r="2183" spans="1:6">
      <c r="A2183" s="1">
        <v>43692</v>
      </c>
      <c r="B2183" t="s">
        <v>2329</v>
      </c>
      <c r="C2183" t="s">
        <v>189</v>
      </c>
      <c r="D2183" t="s">
        <v>120</v>
      </c>
      <c r="E2183" t="s">
        <v>121</v>
      </c>
      <c r="F2183" s="2">
        <v>90</v>
      </c>
    </row>
    <row r="2184" spans="1:6">
      <c r="A2184" s="1">
        <v>43692</v>
      </c>
      <c r="B2184" t="s">
        <v>2330</v>
      </c>
      <c r="C2184" t="s">
        <v>129</v>
      </c>
      <c r="D2184" t="s">
        <v>126</v>
      </c>
      <c r="E2184" t="s">
        <v>127</v>
      </c>
      <c r="F2184" s="2">
        <v>160</v>
      </c>
    </row>
    <row r="2185" spans="1:6">
      <c r="A2185" s="1">
        <v>43692</v>
      </c>
      <c r="B2185" t="s">
        <v>2331</v>
      </c>
      <c r="C2185" t="s">
        <v>148</v>
      </c>
      <c r="D2185" t="s">
        <v>146</v>
      </c>
      <c r="E2185" t="s">
        <v>134</v>
      </c>
      <c r="F2185" s="2">
        <v>50</v>
      </c>
    </row>
    <row r="2186" spans="1:6">
      <c r="A2186" s="1">
        <v>43692</v>
      </c>
      <c r="B2186" t="s">
        <v>2332</v>
      </c>
      <c r="C2186" t="s">
        <v>145</v>
      </c>
      <c r="D2186" t="s">
        <v>159</v>
      </c>
      <c r="E2186" t="s">
        <v>134</v>
      </c>
      <c r="F2186" s="2">
        <v>150</v>
      </c>
    </row>
    <row r="2187" spans="1:6">
      <c r="A2187" s="1">
        <v>43692</v>
      </c>
      <c r="B2187" t="s">
        <v>2333</v>
      </c>
      <c r="C2187" t="s">
        <v>123</v>
      </c>
      <c r="D2187" t="s">
        <v>159</v>
      </c>
      <c r="E2187" t="s">
        <v>121</v>
      </c>
      <c r="F2187" s="2">
        <v>150</v>
      </c>
    </row>
    <row r="2188" spans="1:6">
      <c r="A2188" s="1">
        <v>43692</v>
      </c>
      <c r="B2188" t="s">
        <v>2334</v>
      </c>
      <c r="C2188" t="s">
        <v>152</v>
      </c>
      <c r="D2188" t="s">
        <v>126</v>
      </c>
      <c r="E2188" t="s">
        <v>134</v>
      </c>
      <c r="F2188" s="2">
        <v>160</v>
      </c>
    </row>
    <row r="2189" spans="1:6">
      <c r="A2189" s="1">
        <v>43693</v>
      </c>
      <c r="B2189" t="s">
        <v>2335</v>
      </c>
      <c r="C2189" t="s">
        <v>143</v>
      </c>
      <c r="D2189" t="s">
        <v>133</v>
      </c>
      <c r="E2189" t="s">
        <v>127</v>
      </c>
      <c r="F2189" s="2">
        <v>30</v>
      </c>
    </row>
    <row r="2190" spans="1:6">
      <c r="A2190" s="1">
        <v>43693</v>
      </c>
      <c r="B2190" t="s">
        <v>2336</v>
      </c>
      <c r="C2190" t="s">
        <v>223</v>
      </c>
      <c r="D2190" t="s">
        <v>139</v>
      </c>
      <c r="E2190" t="s">
        <v>131</v>
      </c>
      <c r="F2190" s="2">
        <v>80</v>
      </c>
    </row>
    <row r="2191" spans="1:6">
      <c r="A2191" s="1">
        <v>43693</v>
      </c>
      <c r="B2191" t="s">
        <v>2337</v>
      </c>
      <c r="C2191" t="s">
        <v>143</v>
      </c>
      <c r="D2191" t="s">
        <v>141</v>
      </c>
      <c r="E2191" t="s">
        <v>127</v>
      </c>
      <c r="F2191" s="2">
        <v>180</v>
      </c>
    </row>
    <row r="2192" spans="1:6">
      <c r="A2192" s="1">
        <v>43693</v>
      </c>
      <c r="B2192" t="s">
        <v>2338</v>
      </c>
      <c r="C2192" t="s">
        <v>145</v>
      </c>
      <c r="D2192" t="s">
        <v>159</v>
      </c>
      <c r="E2192" t="s">
        <v>134</v>
      </c>
      <c r="F2192" s="2">
        <v>150</v>
      </c>
    </row>
    <row r="2193" spans="1:6">
      <c r="A2193" s="1">
        <v>43693</v>
      </c>
      <c r="B2193" t="s">
        <v>2339</v>
      </c>
      <c r="C2193" t="s">
        <v>157</v>
      </c>
      <c r="D2193" t="s">
        <v>159</v>
      </c>
      <c r="E2193" t="s">
        <v>153</v>
      </c>
      <c r="F2193" s="2">
        <v>150</v>
      </c>
    </row>
    <row r="2194" spans="1:6">
      <c r="A2194" s="1">
        <v>43693</v>
      </c>
      <c r="B2194" t="s">
        <v>2340</v>
      </c>
      <c r="C2194" t="s">
        <v>187</v>
      </c>
      <c r="D2194" t="s">
        <v>159</v>
      </c>
      <c r="E2194" t="s">
        <v>131</v>
      </c>
      <c r="F2194" s="2">
        <v>150</v>
      </c>
    </row>
    <row r="2195" spans="1:6">
      <c r="A2195" s="1">
        <v>43693</v>
      </c>
      <c r="B2195" t="s">
        <v>2341</v>
      </c>
      <c r="C2195" t="s">
        <v>148</v>
      </c>
      <c r="D2195" t="s">
        <v>126</v>
      </c>
      <c r="E2195" t="s">
        <v>121</v>
      </c>
      <c r="F2195" s="2">
        <v>160</v>
      </c>
    </row>
    <row r="2196" spans="1:6">
      <c r="A2196" s="1">
        <v>43693</v>
      </c>
      <c r="B2196" t="s">
        <v>2342</v>
      </c>
      <c r="C2196" t="s">
        <v>182</v>
      </c>
      <c r="D2196" t="s">
        <v>159</v>
      </c>
      <c r="E2196" t="s">
        <v>134</v>
      </c>
      <c r="F2196" s="2">
        <v>150</v>
      </c>
    </row>
    <row r="2197" spans="1:6">
      <c r="A2197" s="1">
        <v>43693</v>
      </c>
      <c r="B2197" t="s">
        <v>2343</v>
      </c>
      <c r="C2197" t="s">
        <v>182</v>
      </c>
      <c r="D2197" t="s">
        <v>130</v>
      </c>
      <c r="E2197" t="s">
        <v>131</v>
      </c>
      <c r="F2197" s="2">
        <v>100</v>
      </c>
    </row>
    <row r="2198" spans="1:6">
      <c r="A2198" s="1">
        <v>43693</v>
      </c>
      <c r="B2198" t="s">
        <v>2344</v>
      </c>
      <c r="C2198" t="s">
        <v>167</v>
      </c>
      <c r="D2198" t="s">
        <v>146</v>
      </c>
      <c r="E2198" t="s">
        <v>127</v>
      </c>
      <c r="F2198" s="2">
        <v>50</v>
      </c>
    </row>
    <row r="2199" spans="1:6">
      <c r="A2199" s="1">
        <v>43693</v>
      </c>
      <c r="B2199" t="s">
        <v>2345</v>
      </c>
      <c r="C2199" t="s">
        <v>145</v>
      </c>
      <c r="D2199" t="s">
        <v>133</v>
      </c>
      <c r="E2199" t="s">
        <v>121</v>
      </c>
      <c r="F2199" s="2">
        <v>30</v>
      </c>
    </row>
    <row r="2200" spans="1:6">
      <c r="A2200" s="1">
        <v>43693</v>
      </c>
      <c r="B2200" t="s">
        <v>2346</v>
      </c>
      <c r="C2200" t="s">
        <v>167</v>
      </c>
      <c r="D2200" t="s">
        <v>120</v>
      </c>
      <c r="E2200" t="s">
        <v>134</v>
      </c>
      <c r="F2200" s="2">
        <v>90</v>
      </c>
    </row>
    <row r="2201" spans="1:6">
      <c r="A2201" s="1">
        <v>43693</v>
      </c>
      <c r="B2201" t="s">
        <v>2347</v>
      </c>
      <c r="C2201" t="s">
        <v>157</v>
      </c>
      <c r="D2201" t="s">
        <v>133</v>
      </c>
      <c r="E2201" t="s">
        <v>121</v>
      </c>
      <c r="F2201" s="2">
        <v>30</v>
      </c>
    </row>
    <row r="2202" spans="1:6">
      <c r="A2202" s="1">
        <v>43693</v>
      </c>
      <c r="B2202" t="s">
        <v>2348</v>
      </c>
      <c r="C2202" t="s">
        <v>145</v>
      </c>
      <c r="D2202" t="s">
        <v>159</v>
      </c>
      <c r="E2202" t="s">
        <v>121</v>
      </c>
      <c r="F2202" s="2">
        <v>150</v>
      </c>
    </row>
    <row r="2203" spans="1:6">
      <c r="A2203" s="1">
        <v>43694</v>
      </c>
      <c r="B2203" t="s">
        <v>2349</v>
      </c>
      <c r="C2203" t="s">
        <v>187</v>
      </c>
      <c r="D2203" t="s">
        <v>146</v>
      </c>
      <c r="E2203" t="s">
        <v>153</v>
      </c>
      <c r="F2203" s="2">
        <v>50</v>
      </c>
    </row>
    <row r="2204" spans="1:6">
      <c r="A2204" s="1">
        <v>43694</v>
      </c>
      <c r="B2204" t="s">
        <v>2350</v>
      </c>
      <c r="C2204" t="s">
        <v>223</v>
      </c>
      <c r="D2204" t="s">
        <v>141</v>
      </c>
      <c r="E2204" t="s">
        <v>153</v>
      </c>
      <c r="F2204" s="2">
        <v>180</v>
      </c>
    </row>
    <row r="2205" spans="1:6">
      <c r="A2205" s="1">
        <v>43694</v>
      </c>
      <c r="B2205" t="s">
        <v>2351</v>
      </c>
      <c r="C2205" t="s">
        <v>182</v>
      </c>
      <c r="D2205" t="s">
        <v>130</v>
      </c>
      <c r="E2205" t="s">
        <v>121</v>
      </c>
      <c r="F2205" s="2">
        <v>100</v>
      </c>
    </row>
    <row r="2206" spans="1:6">
      <c r="A2206" s="1">
        <v>43694</v>
      </c>
      <c r="B2206" t="s">
        <v>2352</v>
      </c>
      <c r="C2206" t="s">
        <v>187</v>
      </c>
      <c r="D2206" t="s">
        <v>146</v>
      </c>
      <c r="E2206" t="s">
        <v>127</v>
      </c>
      <c r="F2206" s="2">
        <v>50</v>
      </c>
    </row>
    <row r="2207" spans="1:6">
      <c r="A2207" s="1">
        <v>43694</v>
      </c>
      <c r="B2207" t="s">
        <v>2353</v>
      </c>
      <c r="C2207" t="s">
        <v>164</v>
      </c>
      <c r="D2207" t="s">
        <v>133</v>
      </c>
      <c r="E2207" t="s">
        <v>134</v>
      </c>
      <c r="F2207" s="2">
        <v>30</v>
      </c>
    </row>
    <row r="2208" spans="1:6">
      <c r="A2208" s="1">
        <v>43694</v>
      </c>
      <c r="B2208" t="s">
        <v>2354</v>
      </c>
      <c r="C2208" t="s">
        <v>143</v>
      </c>
      <c r="D2208" t="s">
        <v>146</v>
      </c>
      <c r="E2208" t="s">
        <v>131</v>
      </c>
      <c r="F2208" s="2">
        <v>50</v>
      </c>
    </row>
    <row r="2209" spans="1:6">
      <c r="A2209" s="1">
        <v>43694</v>
      </c>
      <c r="B2209" t="s">
        <v>2355</v>
      </c>
      <c r="C2209" t="s">
        <v>136</v>
      </c>
      <c r="D2209" t="s">
        <v>139</v>
      </c>
      <c r="E2209" t="s">
        <v>134</v>
      </c>
      <c r="F2209" s="2">
        <v>80</v>
      </c>
    </row>
    <row r="2210" spans="1:6">
      <c r="A2210" s="1">
        <v>43694</v>
      </c>
      <c r="B2210" t="s">
        <v>2356</v>
      </c>
      <c r="C2210" t="s">
        <v>129</v>
      </c>
      <c r="D2210" t="s">
        <v>141</v>
      </c>
      <c r="E2210" t="s">
        <v>134</v>
      </c>
      <c r="F2210" s="2">
        <v>180</v>
      </c>
    </row>
    <row r="2211" spans="1:6">
      <c r="A2211" s="1">
        <v>43694</v>
      </c>
      <c r="B2211" t="s">
        <v>2357</v>
      </c>
      <c r="C2211" t="s">
        <v>125</v>
      </c>
      <c r="D2211" t="s">
        <v>130</v>
      </c>
      <c r="E2211" t="s">
        <v>131</v>
      </c>
      <c r="F2211" s="2">
        <v>100</v>
      </c>
    </row>
    <row r="2212" spans="1:6">
      <c r="A2212" s="1">
        <v>43694</v>
      </c>
      <c r="B2212" t="s">
        <v>2358</v>
      </c>
      <c r="C2212" t="s">
        <v>145</v>
      </c>
      <c r="D2212" t="s">
        <v>120</v>
      </c>
      <c r="E2212" t="s">
        <v>131</v>
      </c>
      <c r="F2212" s="2">
        <v>90</v>
      </c>
    </row>
    <row r="2213" spans="1:6">
      <c r="A2213" s="1">
        <v>43694</v>
      </c>
      <c r="B2213" t="s">
        <v>2359</v>
      </c>
      <c r="C2213" t="s">
        <v>143</v>
      </c>
      <c r="D2213" t="s">
        <v>133</v>
      </c>
      <c r="E2213" t="s">
        <v>134</v>
      </c>
      <c r="F2213" s="2">
        <v>30</v>
      </c>
    </row>
    <row r="2214" spans="1:6">
      <c r="A2214" s="1">
        <v>43694</v>
      </c>
      <c r="B2214" t="s">
        <v>2360</v>
      </c>
      <c r="C2214" t="s">
        <v>164</v>
      </c>
      <c r="D2214" t="s">
        <v>139</v>
      </c>
      <c r="E2214" t="s">
        <v>134</v>
      </c>
      <c r="F2214" s="2">
        <v>80</v>
      </c>
    </row>
    <row r="2215" spans="1:6">
      <c r="A2215" s="1">
        <v>43694</v>
      </c>
      <c r="B2215" t="s">
        <v>2361</v>
      </c>
      <c r="C2215" t="s">
        <v>164</v>
      </c>
      <c r="D2215" t="s">
        <v>130</v>
      </c>
      <c r="E2215" t="s">
        <v>134</v>
      </c>
      <c r="F2215" s="2">
        <v>100</v>
      </c>
    </row>
    <row r="2216" spans="1:6">
      <c r="A2216" s="1">
        <v>43694</v>
      </c>
      <c r="B2216" t="s">
        <v>2362</v>
      </c>
      <c r="C2216" t="s">
        <v>167</v>
      </c>
      <c r="D2216" t="s">
        <v>146</v>
      </c>
      <c r="E2216" t="s">
        <v>131</v>
      </c>
      <c r="F2216" s="2">
        <v>50</v>
      </c>
    </row>
    <row r="2217" spans="1:6">
      <c r="A2217" s="1">
        <v>43694</v>
      </c>
      <c r="B2217" t="s">
        <v>2363</v>
      </c>
      <c r="C2217" t="s">
        <v>119</v>
      </c>
      <c r="D2217" t="s">
        <v>141</v>
      </c>
      <c r="E2217" t="s">
        <v>121</v>
      </c>
      <c r="F2217" s="2">
        <v>180</v>
      </c>
    </row>
    <row r="2218" spans="1:6">
      <c r="A2218" s="1">
        <v>43694</v>
      </c>
      <c r="B2218" t="s">
        <v>2364</v>
      </c>
      <c r="C2218" t="s">
        <v>138</v>
      </c>
      <c r="D2218" t="s">
        <v>120</v>
      </c>
      <c r="E2218" t="s">
        <v>134</v>
      </c>
      <c r="F2218" s="2">
        <v>90</v>
      </c>
    </row>
    <row r="2219" spans="1:6">
      <c r="A2219" s="1">
        <v>43695</v>
      </c>
      <c r="B2219" t="s">
        <v>2365</v>
      </c>
      <c r="C2219" t="s">
        <v>187</v>
      </c>
      <c r="D2219" t="s">
        <v>126</v>
      </c>
      <c r="E2219" t="s">
        <v>131</v>
      </c>
      <c r="F2219" s="2">
        <v>160</v>
      </c>
    </row>
    <row r="2220" spans="1:6">
      <c r="A2220" s="1">
        <v>43695</v>
      </c>
      <c r="B2220" t="s">
        <v>2366</v>
      </c>
      <c r="C2220" t="s">
        <v>189</v>
      </c>
      <c r="D2220" t="s">
        <v>133</v>
      </c>
      <c r="E2220" t="s">
        <v>127</v>
      </c>
      <c r="F2220" s="2">
        <v>30</v>
      </c>
    </row>
    <row r="2221" spans="1:6">
      <c r="A2221" s="1">
        <v>43695</v>
      </c>
      <c r="B2221" t="s">
        <v>2367</v>
      </c>
      <c r="C2221" t="s">
        <v>136</v>
      </c>
      <c r="D2221" t="s">
        <v>133</v>
      </c>
      <c r="E2221" t="s">
        <v>153</v>
      </c>
      <c r="F2221" s="2">
        <v>30</v>
      </c>
    </row>
    <row r="2222" spans="1:6">
      <c r="A2222" s="1">
        <v>43695</v>
      </c>
      <c r="B2222" t="s">
        <v>2368</v>
      </c>
      <c r="C2222" t="s">
        <v>123</v>
      </c>
      <c r="D2222" t="s">
        <v>146</v>
      </c>
      <c r="E2222" t="s">
        <v>121</v>
      </c>
      <c r="F2222" s="2">
        <v>50</v>
      </c>
    </row>
    <row r="2223" spans="1:6">
      <c r="A2223" s="1">
        <v>43695</v>
      </c>
      <c r="B2223" t="s">
        <v>2369</v>
      </c>
      <c r="C2223" t="s">
        <v>136</v>
      </c>
      <c r="D2223" t="s">
        <v>130</v>
      </c>
      <c r="E2223" t="s">
        <v>153</v>
      </c>
      <c r="F2223" s="2">
        <v>100</v>
      </c>
    </row>
    <row r="2224" spans="1:6">
      <c r="A2224" s="1">
        <v>43695</v>
      </c>
      <c r="B2224" t="s">
        <v>2370</v>
      </c>
      <c r="C2224" t="s">
        <v>125</v>
      </c>
      <c r="D2224" t="s">
        <v>139</v>
      </c>
      <c r="E2224" t="s">
        <v>127</v>
      </c>
      <c r="F2224" s="2">
        <v>80</v>
      </c>
    </row>
    <row r="2225" spans="1:6">
      <c r="A2225" s="1">
        <v>43695</v>
      </c>
      <c r="B2225" t="s">
        <v>2371</v>
      </c>
      <c r="C2225" t="s">
        <v>129</v>
      </c>
      <c r="D2225" t="s">
        <v>141</v>
      </c>
      <c r="E2225" t="s">
        <v>127</v>
      </c>
      <c r="F2225" s="2">
        <v>180</v>
      </c>
    </row>
    <row r="2226" spans="1:6">
      <c r="A2226" s="1">
        <v>43695</v>
      </c>
      <c r="B2226" t="s">
        <v>2372</v>
      </c>
      <c r="C2226" t="s">
        <v>187</v>
      </c>
      <c r="D2226" t="s">
        <v>141</v>
      </c>
      <c r="E2226" t="s">
        <v>153</v>
      </c>
      <c r="F2226" s="2">
        <v>180</v>
      </c>
    </row>
    <row r="2227" spans="1:6">
      <c r="A2227" s="1">
        <v>43696</v>
      </c>
      <c r="B2227" t="s">
        <v>2373</v>
      </c>
      <c r="C2227" t="s">
        <v>129</v>
      </c>
      <c r="D2227" t="s">
        <v>146</v>
      </c>
      <c r="E2227" t="s">
        <v>127</v>
      </c>
      <c r="F2227" s="2">
        <v>50</v>
      </c>
    </row>
    <row r="2228" spans="1:6">
      <c r="A2228" s="1">
        <v>43696</v>
      </c>
      <c r="B2228" t="s">
        <v>2374</v>
      </c>
      <c r="C2228" t="s">
        <v>187</v>
      </c>
      <c r="D2228" t="s">
        <v>133</v>
      </c>
      <c r="E2228" t="s">
        <v>127</v>
      </c>
      <c r="F2228" s="2">
        <v>30</v>
      </c>
    </row>
    <row r="2229" spans="1:6">
      <c r="A2229" s="1">
        <v>43696</v>
      </c>
      <c r="B2229" t="s">
        <v>2375</v>
      </c>
      <c r="C2229" t="s">
        <v>143</v>
      </c>
      <c r="D2229" t="s">
        <v>159</v>
      </c>
      <c r="E2229" t="s">
        <v>131</v>
      </c>
      <c r="F2229" s="2">
        <v>150</v>
      </c>
    </row>
    <row r="2230" spans="1:6">
      <c r="A2230" s="1">
        <v>43696</v>
      </c>
      <c r="B2230" t="s">
        <v>2376</v>
      </c>
      <c r="C2230" t="s">
        <v>125</v>
      </c>
      <c r="D2230" t="s">
        <v>133</v>
      </c>
      <c r="E2230" t="s">
        <v>121</v>
      </c>
      <c r="F2230" s="2">
        <v>30</v>
      </c>
    </row>
    <row r="2231" spans="1:6">
      <c r="A2231" s="1">
        <v>43696</v>
      </c>
      <c r="B2231" t="s">
        <v>2377</v>
      </c>
      <c r="C2231" t="s">
        <v>136</v>
      </c>
      <c r="D2231" t="s">
        <v>130</v>
      </c>
      <c r="E2231" t="s">
        <v>127</v>
      </c>
      <c r="F2231" s="2">
        <v>100</v>
      </c>
    </row>
    <row r="2232" spans="1:6">
      <c r="A2232" s="1">
        <v>43696</v>
      </c>
      <c r="B2232" t="s">
        <v>2378</v>
      </c>
      <c r="C2232" t="s">
        <v>164</v>
      </c>
      <c r="D2232" t="s">
        <v>120</v>
      </c>
      <c r="E2232" t="s">
        <v>121</v>
      </c>
      <c r="F2232" s="2">
        <v>90</v>
      </c>
    </row>
    <row r="2233" spans="1:6">
      <c r="A2233" s="1">
        <v>43697</v>
      </c>
      <c r="B2233" t="s">
        <v>2379</v>
      </c>
      <c r="C2233" t="s">
        <v>125</v>
      </c>
      <c r="D2233" t="s">
        <v>139</v>
      </c>
      <c r="E2233" t="s">
        <v>134</v>
      </c>
      <c r="F2233" s="2">
        <v>80</v>
      </c>
    </row>
    <row r="2234" spans="1:6">
      <c r="A2234" s="1">
        <v>43697</v>
      </c>
      <c r="B2234" t="s">
        <v>2380</v>
      </c>
      <c r="C2234" t="s">
        <v>145</v>
      </c>
      <c r="D2234" t="s">
        <v>139</v>
      </c>
      <c r="E2234" t="s">
        <v>121</v>
      </c>
      <c r="F2234" s="2">
        <v>80</v>
      </c>
    </row>
    <row r="2235" spans="1:6">
      <c r="A2235" s="1">
        <v>43697</v>
      </c>
      <c r="B2235" t="s">
        <v>2381</v>
      </c>
      <c r="C2235" t="s">
        <v>223</v>
      </c>
      <c r="D2235" t="s">
        <v>130</v>
      </c>
      <c r="E2235" t="s">
        <v>134</v>
      </c>
      <c r="F2235" s="2">
        <v>100</v>
      </c>
    </row>
    <row r="2236" spans="1:6">
      <c r="A2236" s="1">
        <v>43697</v>
      </c>
      <c r="B2236" t="s">
        <v>2382</v>
      </c>
      <c r="C2236" t="s">
        <v>145</v>
      </c>
      <c r="D2236" t="s">
        <v>126</v>
      </c>
      <c r="E2236" t="s">
        <v>131</v>
      </c>
      <c r="F2236" s="2">
        <v>160</v>
      </c>
    </row>
    <row r="2237" spans="1:6">
      <c r="A2237" s="1">
        <v>43697</v>
      </c>
      <c r="B2237" t="s">
        <v>2383</v>
      </c>
      <c r="C2237" t="s">
        <v>119</v>
      </c>
      <c r="D2237" t="s">
        <v>133</v>
      </c>
      <c r="E2237" t="s">
        <v>121</v>
      </c>
      <c r="F2237" s="2">
        <v>30</v>
      </c>
    </row>
    <row r="2238" spans="1:6">
      <c r="A2238" s="1">
        <v>43697</v>
      </c>
      <c r="B2238" t="s">
        <v>2384</v>
      </c>
      <c r="C2238" t="s">
        <v>182</v>
      </c>
      <c r="D2238" t="s">
        <v>139</v>
      </c>
      <c r="E2238" t="s">
        <v>121</v>
      </c>
      <c r="F2238" s="2">
        <v>80</v>
      </c>
    </row>
    <row r="2239" spans="1:6">
      <c r="A2239" s="1">
        <v>43697</v>
      </c>
      <c r="B2239" t="s">
        <v>2385</v>
      </c>
      <c r="C2239" t="s">
        <v>145</v>
      </c>
      <c r="D2239" t="s">
        <v>139</v>
      </c>
      <c r="E2239" t="s">
        <v>153</v>
      </c>
      <c r="F2239" s="2">
        <v>80</v>
      </c>
    </row>
    <row r="2240" spans="1:6">
      <c r="A2240" s="1">
        <v>43697</v>
      </c>
      <c r="B2240" t="s">
        <v>2386</v>
      </c>
      <c r="C2240" t="s">
        <v>189</v>
      </c>
      <c r="D2240" t="s">
        <v>139</v>
      </c>
      <c r="E2240" t="s">
        <v>121</v>
      </c>
      <c r="F2240" s="2">
        <v>80</v>
      </c>
    </row>
    <row r="2241" spans="1:6">
      <c r="A2241" s="1">
        <v>43697</v>
      </c>
      <c r="B2241" t="s">
        <v>2387</v>
      </c>
      <c r="C2241" t="s">
        <v>187</v>
      </c>
      <c r="D2241" t="s">
        <v>130</v>
      </c>
      <c r="E2241" t="s">
        <v>131</v>
      </c>
      <c r="F2241" s="2">
        <v>100</v>
      </c>
    </row>
    <row r="2242" spans="1:6">
      <c r="A2242" s="1">
        <v>43697</v>
      </c>
      <c r="B2242" t="s">
        <v>2388</v>
      </c>
      <c r="C2242" t="s">
        <v>157</v>
      </c>
      <c r="D2242" t="s">
        <v>130</v>
      </c>
      <c r="E2242" t="s">
        <v>134</v>
      </c>
      <c r="F2242" s="2">
        <v>100</v>
      </c>
    </row>
    <row r="2243" spans="1:6">
      <c r="A2243" s="1">
        <v>43697</v>
      </c>
      <c r="B2243" t="s">
        <v>2389</v>
      </c>
      <c r="C2243" t="s">
        <v>143</v>
      </c>
      <c r="D2243" t="s">
        <v>159</v>
      </c>
      <c r="E2243" t="s">
        <v>127</v>
      </c>
      <c r="F2243" s="2">
        <v>150</v>
      </c>
    </row>
    <row r="2244" spans="1:6">
      <c r="A2244" s="1">
        <v>43697</v>
      </c>
      <c r="B2244" t="s">
        <v>2390</v>
      </c>
      <c r="C2244" t="s">
        <v>136</v>
      </c>
      <c r="D2244" t="s">
        <v>133</v>
      </c>
      <c r="E2244" t="s">
        <v>121</v>
      </c>
      <c r="F2244" s="2">
        <v>30</v>
      </c>
    </row>
    <row r="2245" spans="1:6">
      <c r="A2245" s="1">
        <v>43698</v>
      </c>
      <c r="B2245" t="s">
        <v>2391</v>
      </c>
      <c r="C2245" t="s">
        <v>157</v>
      </c>
      <c r="D2245" t="s">
        <v>133</v>
      </c>
      <c r="E2245" t="s">
        <v>121</v>
      </c>
      <c r="F2245" s="2">
        <v>30</v>
      </c>
    </row>
    <row r="2246" spans="1:6">
      <c r="A2246" s="1">
        <v>43698</v>
      </c>
      <c r="B2246" t="s">
        <v>2392</v>
      </c>
      <c r="C2246" t="s">
        <v>125</v>
      </c>
      <c r="D2246" t="s">
        <v>159</v>
      </c>
      <c r="E2246" t="s">
        <v>153</v>
      </c>
      <c r="F2246" s="2">
        <v>150</v>
      </c>
    </row>
    <row r="2247" spans="1:6">
      <c r="A2247" s="1">
        <v>43698</v>
      </c>
      <c r="B2247" t="s">
        <v>2393</v>
      </c>
      <c r="C2247" t="s">
        <v>129</v>
      </c>
      <c r="D2247" t="s">
        <v>133</v>
      </c>
      <c r="E2247" t="s">
        <v>127</v>
      </c>
      <c r="F2247" s="2">
        <v>30</v>
      </c>
    </row>
    <row r="2248" spans="1:6">
      <c r="A2248" s="1">
        <v>43698</v>
      </c>
      <c r="B2248" t="s">
        <v>2394</v>
      </c>
      <c r="C2248" t="s">
        <v>182</v>
      </c>
      <c r="D2248" t="s">
        <v>146</v>
      </c>
      <c r="E2248" t="s">
        <v>153</v>
      </c>
      <c r="F2248" s="2">
        <v>50</v>
      </c>
    </row>
    <row r="2249" spans="1:6">
      <c r="A2249" s="1">
        <v>43698</v>
      </c>
      <c r="B2249" t="s">
        <v>2395</v>
      </c>
      <c r="C2249" t="s">
        <v>152</v>
      </c>
      <c r="D2249" t="s">
        <v>139</v>
      </c>
      <c r="E2249" t="s">
        <v>121</v>
      </c>
      <c r="F2249" s="2">
        <v>80</v>
      </c>
    </row>
    <row r="2250" spans="1:6">
      <c r="A2250" s="1">
        <v>43698</v>
      </c>
      <c r="B2250" t="s">
        <v>2396</v>
      </c>
      <c r="C2250" t="s">
        <v>148</v>
      </c>
      <c r="D2250" t="s">
        <v>141</v>
      </c>
      <c r="E2250" t="s">
        <v>153</v>
      </c>
      <c r="F2250" s="2">
        <v>180</v>
      </c>
    </row>
    <row r="2251" spans="1:6">
      <c r="A2251" s="1">
        <v>43699</v>
      </c>
      <c r="B2251" t="s">
        <v>2397</v>
      </c>
      <c r="C2251" t="s">
        <v>157</v>
      </c>
      <c r="D2251" t="s">
        <v>141</v>
      </c>
      <c r="E2251" t="s">
        <v>121</v>
      </c>
      <c r="F2251" s="2">
        <v>180</v>
      </c>
    </row>
    <row r="2252" spans="1:6">
      <c r="A2252" s="1">
        <v>43699</v>
      </c>
      <c r="B2252" t="s">
        <v>2398</v>
      </c>
      <c r="C2252" t="s">
        <v>187</v>
      </c>
      <c r="D2252" t="s">
        <v>130</v>
      </c>
      <c r="E2252" t="s">
        <v>127</v>
      </c>
      <c r="F2252" s="2">
        <v>100</v>
      </c>
    </row>
    <row r="2253" spans="1:6">
      <c r="A2253" s="1">
        <v>43699</v>
      </c>
      <c r="B2253" t="s">
        <v>2399</v>
      </c>
      <c r="C2253" t="s">
        <v>125</v>
      </c>
      <c r="D2253" t="s">
        <v>133</v>
      </c>
      <c r="E2253" t="s">
        <v>153</v>
      </c>
      <c r="F2253" s="2">
        <v>30</v>
      </c>
    </row>
    <row r="2254" spans="1:6">
      <c r="A2254" s="1">
        <v>43699</v>
      </c>
      <c r="B2254" t="s">
        <v>2400</v>
      </c>
      <c r="C2254" t="s">
        <v>143</v>
      </c>
      <c r="D2254" t="s">
        <v>146</v>
      </c>
      <c r="E2254" t="s">
        <v>131</v>
      </c>
      <c r="F2254" s="2">
        <v>50</v>
      </c>
    </row>
    <row r="2255" spans="1:6">
      <c r="A2255" s="1">
        <v>43700</v>
      </c>
      <c r="B2255" t="s">
        <v>2401</v>
      </c>
      <c r="C2255" t="s">
        <v>157</v>
      </c>
      <c r="D2255" t="s">
        <v>126</v>
      </c>
      <c r="E2255" t="s">
        <v>121</v>
      </c>
      <c r="F2255" s="2">
        <v>160</v>
      </c>
    </row>
    <row r="2256" spans="1:6">
      <c r="A2256" s="1">
        <v>43700</v>
      </c>
      <c r="B2256" t="s">
        <v>2402</v>
      </c>
      <c r="C2256" t="s">
        <v>136</v>
      </c>
      <c r="D2256" t="s">
        <v>126</v>
      </c>
      <c r="E2256" t="s">
        <v>127</v>
      </c>
      <c r="F2256" s="2">
        <v>160</v>
      </c>
    </row>
    <row r="2257" spans="1:6">
      <c r="A2257" s="1">
        <v>43700</v>
      </c>
      <c r="B2257" t="s">
        <v>2403</v>
      </c>
      <c r="C2257" t="s">
        <v>129</v>
      </c>
      <c r="D2257" t="s">
        <v>130</v>
      </c>
      <c r="E2257" t="s">
        <v>153</v>
      </c>
      <c r="F2257" s="2">
        <v>100</v>
      </c>
    </row>
    <row r="2258" spans="1:6">
      <c r="A2258" s="1">
        <v>43700</v>
      </c>
      <c r="B2258" t="s">
        <v>2404</v>
      </c>
      <c r="C2258" t="s">
        <v>167</v>
      </c>
      <c r="D2258" t="s">
        <v>133</v>
      </c>
      <c r="E2258" t="s">
        <v>134</v>
      </c>
      <c r="F2258" s="2">
        <v>30</v>
      </c>
    </row>
    <row r="2259" spans="1:6">
      <c r="A2259" s="1">
        <v>43700</v>
      </c>
      <c r="B2259" t="s">
        <v>2405</v>
      </c>
      <c r="C2259" t="s">
        <v>125</v>
      </c>
      <c r="D2259" t="s">
        <v>126</v>
      </c>
      <c r="E2259" t="s">
        <v>127</v>
      </c>
      <c r="F2259" s="2">
        <v>160</v>
      </c>
    </row>
    <row r="2260" spans="1:6">
      <c r="A2260" s="1">
        <v>43701</v>
      </c>
      <c r="B2260" t="s">
        <v>2406</v>
      </c>
      <c r="C2260" t="s">
        <v>138</v>
      </c>
      <c r="D2260" t="s">
        <v>133</v>
      </c>
      <c r="E2260" t="s">
        <v>127</v>
      </c>
      <c r="F2260" s="2">
        <v>30</v>
      </c>
    </row>
    <row r="2261" spans="1:6">
      <c r="A2261" s="1">
        <v>43701</v>
      </c>
      <c r="B2261" t="s">
        <v>2407</v>
      </c>
      <c r="C2261" t="s">
        <v>125</v>
      </c>
      <c r="D2261" t="s">
        <v>126</v>
      </c>
      <c r="E2261" t="s">
        <v>131</v>
      </c>
      <c r="F2261" s="2">
        <v>160</v>
      </c>
    </row>
    <row r="2262" spans="1:6">
      <c r="A2262" s="1">
        <v>43701</v>
      </c>
      <c r="B2262" t="s">
        <v>2408</v>
      </c>
      <c r="C2262" t="s">
        <v>136</v>
      </c>
      <c r="D2262" t="s">
        <v>130</v>
      </c>
      <c r="E2262" t="s">
        <v>134</v>
      </c>
      <c r="F2262" s="2">
        <v>100</v>
      </c>
    </row>
    <row r="2263" spans="1:6">
      <c r="A2263" s="1">
        <v>43701</v>
      </c>
      <c r="B2263" t="s">
        <v>2409</v>
      </c>
      <c r="C2263" t="s">
        <v>129</v>
      </c>
      <c r="D2263" t="s">
        <v>146</v>
      </c>
      <c r="E2263" t="s">
        <v>121</v>
      </c>
      <c r="F2263" s="2">
        <v>50</v>
      </c>
    </row>
    <row r="2264" spans="1:6">
      <c r="A2264" s="1">
        <v>43701</v>
      </c>
      <c r="B2264" t="s">
        <v>2410</v>
      </c>
      <c r="C2264" t="s">
        <v>152</v>
      </c>
      <c r="D2264" t="s">
        <v>126</v>
      </c>
      <c r="E2264" t="s">
        <v>131</v>
      </c>
      <c r="F2264" s="2">
        <v>160</v>
      </c>
    </row>
    <row r="2265" spans="1:6">
      <c r="A2265" s="1">
        <v>43701</v>
      </c>
      <c r="B2265" t="s">
        <v>2411</v>
      </c>
      <c r="C2265" t="s">
        <v>123</v>
      </c>
      <c r="D2265" t="s">
        <v>146</v>
      </c>
      <c r="E2265" t="s">
        <v>153</v>
      </c>
      <c r="F2265" s="2">
        <v>50</v>
      </c>
    </row>
    <row r="2266" spans="1:6">
      <c r="A2266" s="1">
        <v>43701</v>
      </c>
      <c r="B2266" t="s">
        <v>2412</v>
      </c>
      <c r="C2266" t="s">
        <v>125</v>
      </c>
      <c r="D2266" t="s">
        <v>139</v>
      </c>
      <c r="E2266" t="s">
        <v>127</v>
      </c>
      <c r="F2266" s="2">
        <v>80</v>
      </c>
    </row>
    <row r="2267" spans="1:6">
      <c r="A2267" s="1">
        <v>43701</v>
      </c>
      <c r="B2267" t="s">
        <v>2413</v>
      </c>
      <c r="C2267" t="s">
        <v>136</v>
      </c>
      <c r="D2267" t="s">
        <v>141</v>
      </c>
      <c r="E2267" t="s">
        <v>127</v>
      </c>
      <c r="F2267" s="2">
        <v>180</v>
      </c>
    </row>
    <row r="2268" spans="1:6">
      <c r="A2268" s="1">
        <v>43702</v>
      </c>
      <c r="B2268" t="s">
        <v>2414</v>
      </c>
      <c r="C2268" t="s">
        <v>145</v>
      </c>
      <c r="D2268" t="s">
        <v>141</v>
      </c>
      <c r="E2268" t="s">
        <v>134</v>
      </c>
      <c r="F2268" s="2">
        <v>180</v>
      </c>
    </row>
    <row r="2269" spans="1:6">
      <c r="A2269" s="1">
        <v>43702</v>
      </c>
      <c r="B2269" t="s">
        <v>2415</v>
      </c>
      <c r="C2269" t="s">
        <v>182</v>
      </c>
      <c r="D2269" t="s">
        <v>120</v>
      </c>
      <c r="E2269" t="s">
        <v>121</v>
      </c>
      <c r="F2269" s="2">
        <v>90</v>
      </c>
    </row>
    <row r="2270" spans="1:6">
      <c r="A2270" s="1">
        <v>43702</v>
      </c>
      <c r="B2270" t="s">
        <v>2416</v>
      </c>
      <c r="C2270" t="s">
        <v>157</v>
      </c>
      <c r="D2270" t="s">
        <v>141</v>
      </c>
      <c r="E2270" t="s">
        <v>134</v>
      </c>
      <c r="F2270" s="2">
        <v>180</v>
      </c>
    </row>
    <row r="2271" spans="1:6">
      <c r="A2271" s="1">
        <v>43702</v>
      </c>
      <c r="B2271" t="s">
        <v>2417</v>
      </c>
      <c r="C2271" t="s">
        <v>152</v>
      </c>
      <c r="D2271" t="s">
        <v>139</v>
      </c>
      <c r="E2271" t="s">
        <v>131</v>
      </c>
      <c r="F2271" s="2">
        <v>80</v>
      </c>
    </row>
    <row r="2272" spans="1:6">
      <c r="A2272" s="1">
        <v>43702</v>
      </c>
      <c r="B2272" t="s">
        <v>2418</v>
      </c>
      <c r="C2272" t="s">
        <v>129</v>
      </c>
      <c r="D2272" t="s">
        <v>139</v>
      </c>
      <c r="E2272" t="s">
        <v>134</v>
      </c>
      <c r="F2272" s="2">
        <v>80</v>
      </c>
    </row>
    <row r="2273" spans="1:6">
      <c r="A2273" s="1">
        <v>43702</v>
      </c>
      <c r="B2273" t="s">
        <v>2419</v>
      </c>
      <c r="C2273" t="s">
        <v>157</v>
      </c>
      <c r="D2273" t="s">
        <v>126</v>
      </c>
      <c r="E2273" t="s">
        <v>131</v>
      </c>
      <c r="F2273" s="2">
        <v>160</v>
      </c>
    </row>
    <row r="2274" spans="1:6">
      <c r="A2274" s="1">
        <v>43702</v>
      </c>
      <c r="B2274" t="s">
        <v>2420</v>
      </c>
      <c r="C2274" t="s">
        <v>136</v>
      </c>
      <c r="D2274" t="s">
        <v>120</v>
      </c>
      <c r="E2274" t="s">
        <v>134</v>
      </c>
      <c r="F2274" s="2">
        <v>90</v>
      </c>
    </row>
    <row r="2275" spans="1:6">
      <c r="A2275" s="1">
        <v>43702</v>
      </c>
      <c r="B2275" t="s">
        <v>2421</v>
      </c>
      <c r="C2275" t="s">
        <v>157</v>
      </c>
      <c r="D2275" t="s">
        <v>120</v>
      </c>
      <c r="E2275" t="s">
        <v>153</v>
      </c>
      <c r="F2275" s="2">
        <v>90</v>
      </c>
    </row>
    <row r="2276" spans="1:6">
      <c r="A2276" s="1">
        <v>43702</v>
      </c>
      <c r="B2276" t="s">
        <v>2422</v>
      </c>
      <c r="C2276" t="s">
        <v>143</v>
      </c>
      <c r="D2276" t="s">
        <v>133</v>
      </c>
      <c r="E2276" t="s">
        <v>134</v>
      </c>
      <c r="F2276" s="2">
        <v>30</v>
      </c>
    </row>
    <row r="2277" spans="1:6">
      <c r="A2277" s="1">
        <v>43702</v>
      </c>
      <c r="B2277" t="s">
        <v>2423</v>
      </c>
      <c r="C2277" t="s">
        <v>167</v>
      </c>
      <c r="D2277" t="s">
        <v>139</v>
      </c>
      <c r="E2277" t="s">
        <v>153</v>
      </c>
      <c r="F2277" s="2">
        <v>80</v>
      </c>
    </row>
    <row r="2278" spans="1:6">
      <c r="A2278" s="1">
        <v>43702</v>
      </c>
      <c r="B2278" t="s">
        <v>2424</v>
      </c>
      <c r="C2278" t="s">
        <v>143</v>
      </c>
      <c r="D2278" t="s">
        <v>126</v>
      </c>
      <c r="E2278" t="s">
        <v>131</v>
      </c>
      <c r="F2278" s="2">
        <v>160</v>
      </c>
    </row>
    <row r="2279" spans="1:6">
      <c r="A2279" s="1">
        <v>43702</v>
      </c>
      <c r="B2279" t="s">
        <v>2425</v>
      </c>
      <c r="C2279" t="s">
        <v>143</v>
      </c>
      <c r="D2279" t="s">
        <v>146</v>
      </c>
      <c r="E2279" t="s">
        <v>134</v>
      </c>
      <c r="F2279" s="2">
        <v>50</v>
      </c>
    </row>
    <row r="2280" spans="1:6">
      <c r="A2280" s="1">
        <v>43702</v>
      </c>
      <c r="B2280" t="s">
        <v>2426</v>
      </c>
      <c r="C2280" t="s">
        <v>129</v>
      </c>
      <c r="D2280" t="s">
        <v>159</v>
      </c>
      <c r="E2280" t="s">
        <v>127</v>
      </c>
      <c r="F2280" s="2">
        <v>150</v>
      </c>
    </row>
    <row r="2281" spans="1:6">
      <c r="A2281" s="1">
        <v>43702</v>
      </c>
      <c r="B2281" t="s">
        <v>2427</v>
      </c>
      <c r="C2281" t="s">
        <v>189</v>
      </c>
      <c r="D2281" t="s">
        <v>141</v>
      </c>
      <c r="E2281" t="s">
        <v>153</v>
      </c>
      <c r="F2281" s="2">
        <v>180</v>
      </c>
    </row>
    <row r="2282" spans="1:6">
      <c r="A2282" s="1">
        <v>43702</v>
      </c>
      <c r="B2282" t="s">
        <v>2428</v>
      </c>
      <c r="C2282" t="s">
        <v>129</v>
      </c>
      <c r="D2282" t="s">
        <v>120</v>
      </c>
      <c r="E2282" t="s">
        <v>121</v>
      </c>
      <c r="F2282" s="2">
        <v>90</v>
      </c>
    </row>
    <row r="2283" spans="1:6">
      <c r="A2283" s="1">
        <v>43702</v>
      </c>
      <c r="B2283" t="s">
        <v>2429</v>
      </c>
      <c r="C2283" t="s">
        <v>148</v>
      </c>
      <c r="D2283" t="s">
        <v>141</v>
      </c>
      <c r="E2283" t="s">
        <v>134</v>
      </c>
      <c r="F2283" s="2">
        <v>180</v>
      </c>
    </row>
    <row r="2284" spans="1:6">
      <c r="A2284" s="1">
        <v>43703</v>
      </c>
      <c r="B2284" t="s">
        <v>2430</v>
      </c>
      <c r="C2284" t="s">
        <v>125</v>
      </c>
      <c r="D2284" t="s">
        <v>120</v>
      </c>
      <c r="E2284" t="s">
        <v>131</v>
      </c>
      <c r="F2284" s="2">
        <v>90</v>
      </c>
    </row>
    <row r="2285" spans="1:6">
      <c r="A2285" s="1">
        <v>43703</v>
      </c>
      <c r="B2285" t="s">
        <v>2431</v>
      </c>
      <c r="C2285" t="s">
        <v>152</v>
      </c>
      <c r="D2285" t="s">
        <v>141</v>
      </c>
      <c r="E2285" t="s">
        <v>153</v>
      </c>
      <c r="F2285" s="2">
        <v>180</v>
      </c>
    </row>
    <row r="2286" spans="1:6">
      <c r="A2286" s="1">
        <v>43703</v>
      </c>
      <c r="B2286" t="s">
        <v>2432</v>
      </c>
      <c r="C2286" t="s">
        <v>189</v>
      </c>
      <c r="D2286" t="s">
        <v>120</v>
      </c>
      <c r="E2286" t="s">
        <v>131</v>
      </c>
      <c r="F2286" s="2">
        <v>90</v>
      </c>
    </row>
    <row r="2287" spans="1:6">
      <c r="A2287" s="1">
        <v>43703</v>
      </c>
      <c r="B2287" t="s">
        <v>2433</v>
      </c>
      <c r="C2287" t="s">
        <v>164</v>
      </c>
      <c r="D2287" t="s">
        <v>141</v>
      </c>
      <c r="E2287" t="s">
        <v>134</v>
      </c>
      <c r="F2287" s="2">
        <v>180</v>
      </c>
    </row>
    <row r="2288" spans="1:6">
      <c r="A2288" s="1">
        <v>43703</v>
      </c>
      <c r="B2288" t="s">
        <v>2434</v>
      </c>
      <c r="C2288" t="s">
        <v>148</v>
      </c>
      <c r="D2288" t="s">
        <v>120</v>
      </c>
      <c r="E2288" t="s">
        <v>131</v>
      </c>
      <c r="F2288" s="2">
        <v>90</v>
      </c>
    </row>
    <row r="2289" spans="1:6">
      <c r="A2289" s="1">
        <v>43703</v>
      </c>
      <c r="B2289" t="s">
        <v>2435</v>
      </c>
      <c r="C2289" t="s">
        <v>143</v>
      </c>
      <c r="D2289" t="s">
        <v>141</v>
      </c>
      <c r="E2289" t="s">
        <v>131</v>
      </c>
      <c r="F2289" s="2">
        <v>180</v>
      </c>
    </row>
    <row r="2290" spans="1:6">
      <c r="A2290" s="1">
        <v>43703</v>
      </c>
      <c r="B2290" t="s">
        <v>2436</v>
      </c>
      <c r="C2290" t="s">
        <v>187</v>
      </c>
      <c r="D2290" t="s">
        <v>159</v>
      </c>
      <c r="E2290" t="s">
        <v>134</v>
      </c>
      <c r="F2290" s="2">
        <v>150</v>
      </c>
    </row>
    <row r="2291" spans="1:6">
      <c r="A2291" s="1">
        <v>43703</v>
      </c>
      <c r="B2291" t="s">
        <v>2437</v>
      </c>
      <c r="C2291" t="s">
        <v>182</v>
      </c>
      <c r="D2291" t="s">
        <v>141</v>
      </c>
      <c r="E2291" t="s">
        <v>131</v>
      </c>
      <c r="F2291" s="2">
        <v>180</v>
      </c>
    </row>
    <row r="2292" spans="1:6">
      <c r="A2292" s="1">
        <v>43703</v>
      </c>
      <c r="B2292" t="s">
        <v>2438</v>
      </c>
      <c r="C2292" t="s">
        <v>129</v>
      </c>
      <c r="D2292" t="s">
        <v>120</v>
      </c>
      <c r="E2292" t="s">
        <v>153</v>
      </c>
      <c r="F2292" s="2">
        <v>90</v>
      </c>
    </row>
    <row r="2293" spans="1:6">
      <c r="A2293" s="1">
        <v>43703</v>
      </c>
      <c r="B2293" t="s">
        <v>2439</v>
      </c>
      <c r="C2293" t="s">
        <v>125</v>
      </c>
      <c r="D2293" t="s">
        <v>141</v>
      </c>
      <c r="E2293" t="s">
        <v>134</v>
      </c>
      <c r="F2293" s="2">
        <v>180</v>
      </c>
    </row>
    <row r="2294" spans="1:6">
      <c r="A2294" s="1">
        <v>43703</v>
      </c>
      <c r="B2294" t="s">
        <v>2440</v>
      </c>
      <c r="C2294" t="s">
        <v>187</v>
      </c>
      <c r="D2294" t="s">
        <v>139</v>
      </c>
      <c r="E2294" t="s">
        <v>127</v>
      </c>
      <c r="F2294" s="2">
        <v>80</v>
      </c>
    </row>
    <row r="2295" spans="1:6">
      <c r="A2295" s="1">
        <v>43704</v>
      </c>
      <c r="B2295" t="s">
        <v>2441</v>
      </c>
      <c r="C2295" t="s">
        <v>123</v>
      </c>
      <c r="D2295" t="s">
        <v>159</v>
      </c>
      <c r="E2295" t="s">
        <v>131</v>
      </c>
      <c r="F2295" s="2">
        <v>150</v>
      </c>
    </row>
    <row r="2296" spans="1:6">
      <c r="A2296" s="1">
        <v>43704</v>
      </c>
      <c r="B2296" t="s">
        <v>2442</v>
      </c>
      <c r="C2296" t="s">
        <v>167</v>
      </c>
      <c r="D2296" t="s">
        <v>141</v>
      </c>
      <c r="E2296" t="s">
        <v>134</v>
      </c>
      <c r="F2296" s="2">
        <v>180</v>
      </c>
    </row>
    <row r="2297" spans="1:6">
      <c r="A2297" s="1">
        <v>43704</v>
      </c>
      <c r="B2297" t="s">
        <v>2443</v>
      </c>
      <c r="C2297" t="s">
        <v>164</v>
      </c>
      <c r="D2297" t="s">
        <v>139</v>
      </c>
      <c r="E2297" t="s">
        <v>131</v>
      </c>
      <c r="F2297" s="2">
        <v>80</v>
      </c>
    </row>
    <row r="2298" spans="1:6">
      <c r="A2298" s="1">
        <v>43704</v>
      </c>
      <c r="B2298" t="s">
        <v>2444</v>
      </c>
      <c r="C2298" t="s">
        <v>189</v>
      </c>
      <c r="D2298" t="s">
        <v>139</v>
      </c>
      <c r="E2298" t="s">
        <v>131</v>
      </c>
      <c r="F2298" s="2">
        <v>80</v>
      </c>
    </row>
    <row r="2299" spans="1:6">
      <c r="A2299" s="1">
        <v>43704</v>
      </c>
      <c r="B2299" t="s">
        <v>2445</v>
      </c>
      <c r="C2299" t="s">
        <v>189</v>
      </c>
      <c r="D2299" t="s">
        <v>133</v>
      </c>
      <c r="E2299" t="s">
        <v>121</v>
      </c>
      <c r="F2299" s="2">
        <v>30</v>
      </c>
    </row>
    <row r="2300" spans="1:6">
      <c r="A2300" s="1">
        <v>43704</v>
      </c>
      <c r="B2300" t="s">
        <v>2446</v>
      </c>
      <c r="C2300" t="s">
        <v>123</v>
      </c>
      <c r="D2300" t="s">
        <v>159</v>
      </c>
      <c r="E2300" t="s">
        <v>134</v>
      </c>
      <c r="F2300" s="2">
        <v>150</v>
      </c>
    </row>
    <row r="2301" spans="1:6">
      <c r="A2301" s="1">
        <v>43704</v>
      </c>
      <c r="B2301" t="s">
        <v>2447</v>
      </c>
      <c r="C2301" t="s">
        <v>136</v>
      </c>
      <c r="D2301" t="s">
        <v>126</v>
      </c>
      <c r="E2301" t="s">
        <v>131</v>
      </c>
      <c r="F2301" s="2">
        <v>160</v>
      </c>
    </row>
    <row r="2302" spans="1:6">
      <c r="A2302" s="1">
        <v>43704</v>
      </c>
      <c r="B2302" t="s">
        <v>2448</v>
      </c>
      <c r="C2302" t="s">
        <v>164</v>
      </c>
      <c r="D2302" t="s">
        <v>146</v>
      </c>
      <c r="E2302" t="s">
        <v>153</v>
      </c>
      <c r="F2302" s="2">
        <v>50</v>
      </c>
    </row>
    <row r="2303" spans="1:6">
      <c r="A2303" s="1">
        <v>43704</v>
      </c>
      <c r="B2303" t="s">
        <v>2449</v>
      </c>
      <c r="C2303" t="s">
        <v>157</v>
      </c>
      <c r="D2303" t="s">
        <v>141</v>
      </c>
      <c r="E2303" t="s">
        <v>121</v>
      </c>
      <c r="F2303" s="2">
        <v>180</v>
      </c>
    </row>
    <row r="2304" spans="1:6">
      <c r="A2304" s="1">
        <v>43705</v>
      </c>
      <c r="B2304" t="s">
        <v>2450</v>
      </c>
      <c r="C2304" t="s">
        <v>164</v>
      </c>
      <c r="D2304" t="s">
        <v>146</v>
      </c>
      <c r="E2304" t="s">
        <v>153</v>
      </c>
      <c r="F2304" s="2">
        <v>50</v>
      </c>
    </row>
    <row r="2305" spans="1:6">
      <c r="A2305" s="1">
        <v>43705</v>
      </c>
      <c r="B2305" t="s">
        <v>2451</v>
      </c>
      <c r="C2305" t="s">
        <v>164</v>
      </c>
      <c r="D2305" t="s">
        <v>133</v>
      </c>
      <c r="E2305" t="s">
        <v>134</v>
      </c>
      <c r="F2305" s="2">
        <v>30</v>
      </c>
    </row>
    <row r="2306" spans="1:6">
      <c r="A2306" s="1">
        <v>43705</v>
      </c>
      <c r="B2306" t="s">
        <v>2452</v>
      </c>
      <c r="C2306" t="s">
        <v>223</v>
      </c>
      <c r="D2306" t="s">
        <v>146</v>
      </c>
      <c r="E2306" t="s">
        <v>134</v>
      </c>
      <c r="F2306" s="2">
        <v>50</v>
      </c>
    </row>
    <row r="2307" spans="1:6">
      <c r="A2307" s="1">
        <v>43705</v>
      </c>
      <c r="B2307" t="s">
        <v>2453</v>
      </c>
      <c r="C2307" t="s">
        <v>123</v>
      </c>
      <c r="D2307" t="s">
        <v>159</v>
      </c>
      <c r="E2307" t="s">
        <v>121</v>
      </c>
      <c r="F2307" s="2">
        <v>150</v>
      </c>
    </row>
    <row r="2308" spans="1:6">
      <c r="A2308" s="1">
        <v>43705</v>
      </c>
      <c r="B2308" t="s">
        <v>2454</v>
      </c>
      <c r="C2308" t="s">
        <v>119</v>
      </c>
      <c r="D2308" t="s">
        <v>130</v>
      </c>
      <c r="E2308" t="s">
        <v>127</v>
      </c>
      <c r="F2308" s="2">
        <v>100</v>
      </c>
    </row>
    <row r="2309" spans="1:6">
      <c r="A2309" s="1">
        <v>43705</v>
      </c>
      <c r="B2309" t="s">
        <v>2455</v>
      </c>
      <c r="C2309" t="s">
        <v>182</v>
      </c>
      <c r="D2309" t="s">
        <v>141</v>
      </c>
      <c r="E2309" t="s">
        <v>127</v>
      </c>
      <c r="F2309" s="2">
        <v>180</v>
      </c>
    </row>
    <row r="2310" spans="1:6">
      <c r="A2310" s="1">
        <v>43705</v>
      </c>
      <c r="B2310" t="s">
        <v>2456</v>
      </c>
      <c r="C2310" t="s">
        <v>125</v>
      </c>
      <c r="D2310" t="s">
        <v>120</v>
      </c>
      <c r="E2310" t="s">
        <v>121</v>
      </c>
      <c r="F2310" s="2">
        <v>90</v>
      </c>
    </row>
    <row r="2311" spans="1:6">
      <c r="A2311" s="1">
        <v>43705</v>
      </c>
      <c r="B2311" t="s">
        <v>2457</v>
      </c>
      <c r="C2311" t="s">
        <v>125</v>
      </c>
      <c r="D2311" t="s">
        <v>159</v>
      </c>
      <c r="E2311" t="s">
        <v>127</v>
      </c>
      <c r="F2311" s="2">
        <v>150</v>
      </c>
    </row>
    <row r="2312" spans="1:6">
      <c r="A2312" s="1">
        <v>43705</v>
      </c>
      <c r="B2312" t="s">
        <v>2458</v>
      </c>
      <c r="C2312" t="s">
        <v>164</v>
      </c>
      <c r="D2312" t="s">
        <v>126</v>
      </c>
      <c r="E2312" t="s">
        <v>153</v>
      </c>
      <c r="F2312" s="2">
        <v>160</v>
      </c>
    </row>
    <row r="2313" spans="1:6">
      <c r="A2313" s="1">
        <v>43705</v>
      </c>
      <c r="B2313" t="s">
        <v>2459</v>
      </c>
      <c r="C2313" t="s">
        <v>182</v>
      </c>
      <c r="D2313" t="s">
        <v>139</v>
      </c>
      <c r="E2313" t="s">
        <v>127</v>
      </c>
      <c r="F2313" s="2">
        <v>80</v>
      </c>
    </row>
    <row r="2314" spans="1:6">
      <c r="A2314" s="1">
        <v>43705</v>
      </c>
      <c r="B2314" t="s">
        <v>2460</v>
      </c>
      <c r="C2314" t="s">
        <v>145</v>
      </c>
      <c r="D2314" t="s">
        <v>139</v>
      </c>
      <c r="E2314" t="s">
        <v>127</v>
      </c>
      <c r="F2314" s="2">
        <v>80</v>
      </c>
    </row>
    <row r="2315" spans="1:6">
      <c r="A2315" s="1">
        <v>43705</v>
      </c>
      <c r="B2315" t="s">
        <v>2461</v>
      </c>
      <c r="C2315" t="s">
        <v>119</v>
      </c>
      <c r="D2315" t="s">
        <v>126</v>
      </c>
      <c r="E2315" t="s">
        <v>121</v>
      </c>
      <c r="F2315" s="2">
        <v>160</v>
      </c>
    </row>
    <row r="2316" spans="1:6">
      <c r="A2316" s="1">
        <v>43705</v>
      </c>
      <c r="B2316" t="s">
        <v>2462</v>
      </c>
      <c r="C2316" t="s">
        <v>157</v>
      </c>
      <c r="D2316" t="s">
        <v>159</v>
      </c>
      <c r="E2316" t="s">
        <v>127</v>
      </c>
      <c r="F2316" s="2">
        <v>150</v>
      </c>
    </row>
    <row r="2317" spans="1:6">
      <c r="A2317" s="1">
        <v>43706</v>
      </c>
      <c r="B2317" t="s">
        <v>2463</v>
      </c>
      <c r="C2317" t="s">
        <v>187</v>
      </c>
      <c r="D2317" t="s">
        <v>139</v>
      </c>
      <c r="E2317" t="s">
        <v>121</v>
      </c>
      <c r="F2317" s="2">
        <v>80</v>
      </c>
    </row>
    <row r="2318" spans="1:6">
      <c r="A2318" s="1">
        <v>43706</v>
      </c>
      <c r="B2318" t="s">
        <v>2464</v>
      </c>
      <c r="C2318" t="s">
        <v>119</v>
      </c>
      <c r="D2318" t="s">
        <v>141</v>
      </c>
      <c r="E2318" t="s">
        <v>121</v>
      </c>
      <c r="F2318" s="2">
        <v>180</v>
      </c>
    </row>
    <row r="2319" spans="1:6">
      <c r="A2319" s="1">
        <v>43706</v>
      </c>
      <c r="B2319" t="s">
        <v>2465</v>
      </c>
      <c r="C2319" t="s">
        <v>129</v>
      </c>
      <c r="D2319" t="s">
        <v>126</v>
      </c>
      <c r="E2319" t="s">
        <v>153</v>
      </c>
      <c r="F2319" s="2">
        <v>160</v>
      </c>
    </row>
    <row r="2320" spans="1:6">
      <c r="A2320" s="1">
        <v>43706</v>
      </c>
      <c r="B2320" t="s">
        <v>2466</v>
      </c>
      <c r="C2320" t="s">
        <v>223</v>
      </c>
      <c r="D2320" t="s">
        <v>159</v>
      </c>
      <c r="E2320" t="s">
        <v>121</v>
      </c>
      <c r="F2320" s="2">
        <v>150</v>
      </c>
    </row>
    <row r="2321" spans="1:6">
      <c r="A2321" s="1">
        <v>43706</v>
      </c>
      <c r="B2321" t="s">
        <v>2467</v>
      </c>
      <c r="C2321" t="s">
        <v>143</v>
      </c>
      <c r="D2321" t="s">
        <v>146</v>
      </c>
      <c r="E2321" t="s">
        <v>127</v>
      </c>
      <c r="F2321" s="2">
        <v>50</v>
      </c>
    </row>
    <row r="2322" spans="1:6">
      <c r="A2322" s="1">
        <v>43706</v>
      </c>
      <c r="B2322" t="s">
        <v>2468</v>
      </c>
      <c r="C2322" t="s">
        <v>145</v>
      </c>
      <c r="D2322" t="s">
        <v>120</v>
      </c>
      <c r="E2322" t="s">
        <v>153</v>
      </c>
      <c r="F2322" s="2">
        <v>90</v>
      </c>
    </row>
    <row r="2323" spans="1:6">
      <c r="A2323" s="1">
        <v>43706</v>
      </c>
      <c r="B2323" t="s">
        <v>2469</v>
      </c>
      <c r="C2323" t="s">
        <v>187</v>
      </c>
      <c r="D2323" t="s">
        <v>146</v>
      </c>
      <c r="E2323" t="s">
        <v>127</v>
      </c>
      <c r="F2323" s="2">
        <v>50</v>
      </c>
    </row>
    <row r="2324" spans="1:6">
      <c r="A2324" s="1">
        <v>43706</v>
      </c>
      <c r="B2324" t="s">
        <v>2470</v>
      </c>
      <c r="C2324" t="s">
        <v>223</v>
      </c>
      <c r="D2324" t="s">
        <v>133</v>
      </c>
      <c r="E2324" t="s">
        <v>127</v>
      </c>
      <c r="F2324" s="2">
        <v>30</v>
      </c>
    </row>
    <row r="2325" spans="1:6">
      <c r="A2325" s="1">
        <v>43706</v>
      </c>
      <c r="B2325" t="s">
        <v>2471</v>
      </c>
      <c r="C2325" t="s">
        <v>164</v>
      </c>
      <c r="D2325" t="s">
        <v>120</v>
      </c>
      <c r="E2325" t="s">
        <v>121</v>
      </c>
      <c r="F2325" s="2">
        <v>90</v>
      </c>
    </row>
    <row r="2326" spans="1:6">
      <c r="A2326" s="1">
        <v>43706</v>
      </c>
      <c r="B2326" t="s">
        <v>2472</v>
      </c>
      <c r="C2326" t="s">
        <v>129</v>
      </c>
      <c r="D2326" t="s">
        <v>159</v>
      </c>
      <c r="E2326" t="s">
        <v>127</v>
      </c>
      <c r="F2326" s="2">
        <v>150</v>
      </c>
    </row>
    <row r="2327" spans="1:6">
      <c r="A2327" s="1">
        <v>43707</v>
      </c>
      <c r="B2327" t="s">
        <v>2473</v>
      </c>
      <c r="C2327" t="s">
        <v>148</v>
      </c>
      <c r="D2327" t="s">
        <v>133</v>
      </c>
      <c r="E2327" t="s">
        <v>134</v>
      </c>
      <c r="F2327" s="2">
        <v>30</v>
      </c>
    </row>
    <row r="2328" spans="1:6">
      <c r="A2328" s="1">
        <v>43707</v>
      </c>
      <c r="B2328" t="s">
        <v>2474</v>
      </c>
      <c r="C2328" t="s">
        <v>123</v>
      </c>
      <c r="D2328" t="s">
        <v>126</v>
      </c>
      <c r="E2328" t="s">
        <v>131</v>
      </c>
      <c r="F2328" s="2">
        <v>160</v>
      </c>
    </row>
    <row r="2329" spans="1:6">
      <c r="A2329" s="1">
        <v>43707</v>
      </c>
      <c r="B2329" t="s">
        <v>2475</v>
      </c>
      <c r="C2329" t="s">
        <v>129</v>
      </c>
      <c r="D2329" t="s">
        <v>130</v>
      </c>
      <c r="E2329" t="s">
        <v>131</v>
      </c>
      <c r="F2329" s="2">
        <v>100</v>
      </c>
    </row>
    <row r="2330" spans="1:6">
      <c r="A2330" s="1">
        <v>43707</v>
      </c>
      <c r="B2330" t="s">
        <v>2476</v>
      </c>
      <c r="C2330" t="s">
        <v>119</v>
      </c>
      <c r="D2330" t="s">
        <v>139</v>
      </c>
      <c r="E2330" t="s">
        <v>131</v>
      </c>
      <c r="F2330" s="2">
        <v>80</v>
      </c>
    </row>
    <row r="2331" spans="1:6">
      <c r="A2331" s="1">
        <v>43707</v>
      </c>
      <c r="B2331" t="s">
        <v>2477</v>
      </c>
      <c r="C2331" t="s">
        <v>187</v>
      </c>
      <c r="D2331" t="s">
        <v>133</v>
      </c>
      <c r="E2331" t="s">
        <v>127</v>
      </c>
      <c r="F2331" s="2">
        <v>30</v>
      </c>
    </row>
    <row r="2332" spans="1:6">
      <c r="A2332" s="1">
        <v>43707</v>
      </c>
      <c r="B2332" t="s">
        <v>2478</v>
      </c>
      <c r="C2332" t="s">
        <v>187</v>
      </c>
      <c r="D2332" t="s">
        <v>159</v>
      </c>
      <c r="E2332" t="s">
        <v>121</v>
      </c>
      <c r="F2332" s="2">
        <v>150</v>
      </c>
    </row>
    <row r="2333" spans="1:6">
      <c r="A2333" s="1">
        <v>43707</v>
      </c>
      <c r="B2333" t="s">
        <v>2479</v>
      </c>
      <c r="C2333" t="s">
        <v>138</v>
      </c>
      <c r="D2333" t="s">
        <v>130</v>
      </c>
      <c r="E2333" t="s">
        <v>153</v>
      </c>
      <c r="F2333" s="2">
        <v>100</v>
      </c>
    </row>
    <row r="2334" spans="1:6">
      <c r="A2334" s="1">
        <v>43707</v>
      </c>
      <c r="B2334" t="s">
        <v>2480</v>
      </c>
      <c r="C2334" t="s">
        <v>182</v>
      </c>
      <c r="D2334" t="s">
        <v>120</v>
      </c>
      <c r="E2334" t="s">
        <v>127</v>
      </c>
      <c r="F2334" s="2">
        <v>90</v>
      </c>
    </row>
    <row r="2335" spans="1:6">
      <c r="A2335" s="1">
        <v>43707</v>
      </c>
      <c r="B2335" t="s">
        <v>2481</v>
      </c>
      <c r="C2335" t="s">
        <v>148</v>
      </c>
      <c r="D2335" t="s">
        <v>141</v>
      </c>
      <c r="E2335" t="s">
        <v>134</v>
      </c>
      <c r="F2335" s="2">
        <v>180</v>
      </c>
    </row>
    <row r="2336" spans="1:6">
      <c r="A2336" s="1">
        <v>43708</v>
      </c>
      <c r="B2336" t="s">
        <v>2482</v>
      </c>
      <c r="C2336" t="s">
        <v>125</v>
      </c>
      <c r="D2336" t="s">
        <v>141</v>
      </c>
      <c r="E2336" t="s">
        <v>131</v>
      </c>
      <c r="F2336" s="2">
        <v>180</v>
      </c>
    </row>
    <row r="2337" spans="1:6">
      <c r="A2337" s="1">
        <v>43708</v>
      </c>
      <c r="B2337" t="s">
        <v>2483</v>
      </c>
      <c r="C2337" t="s">
        <v>138</v>
      </c>
      <c r="D2337" t="s">
        <v>133</v>
      </c>
      <c r="E2337" t="s">
        <v>134</v>
      </c>
      <c r="F2337" s="2">
        <v>30</v>
      </c>
    </row>
    <row r="2338" spans="1:6">
      <c r="A2338" s="1">
        <v>43708</v>
      </c>
      <c r="B2338" t="s">
        <v>2484</v>
      </c>
      <c r="C2338" t="s">
        <v>145</v>
      </c>
      <c r="D2338" t="s">
        <v>146</v>
      </c>
      <c r="E2338" t="s">
        <v>134</v>
      </c>
      <c r="F2338" s="2">
        <v>50</v>
      </c>
    </row>
    <row r="2339" spans="1:6">
      <c r="A2339" s="1">
        <v>43708</v>
      </c>
      <c r="B2339" t="s">
        <v>2485</v>
      </c>
      <c r="C2339" t="s">
        <v>145</v>
      </c>
      <c r="D2339" t="s">
        <v>120</v>
      </c>
      <c r="E2339" t="s">
        <v>153</v>
      </c>
      <c r="F2339" s="2">
        <v>90</v>
      </c>
    </row>
    <row r="2340" spans="1:6">
      <c r="A2340" s="1">
        <v>43708</v>
      </c>
      <c r="B2340" t="s">
        <v>2486</v>
      </c>
      <c r="C2340" t="s">
        <v>125</v>
      </c>
      <c r="D2340" t="s">
        <v>120</v>
      </c>
      <c r="E2340" t="s">
        <v>153</v>
      </c>
      <c r="F2340" s="2">
        <v>90</v>
      </c>
    </row>
    <row r="2341" spans="1:6">
      <c r="A2341" s="1">
        <v>43708</v>
      </c>
      <c r="B2341" t="s">
        <v>2487</v>
      </c>
      <c r="C2341" t="s">
        <v>138</v>
      </c>
      <c r="D2341" t="s">
        <v>130</v>
      </c>
      <c r="E2341" t="s">
        <v>153</v>
      </c>
      <c r="F2341" s="2">
        <v>100</v>
      </c>
    </row>
    <row r="2342" spans="1:6">
      <c r="A2342" s="1">
        <v>43708</v>
      </c>
      <c r="B2342" t="s">
        <v>2488</v>
      </c>
      <c r="C2342" t="s">
        <v>223</v>
      </c>
      <c r="D2342" t="s">
        <v>126</v>
      </c>
      <c r="E2342" t="s">
        <v>131</v>
      </c>
      <c r="F2342" s="2">
        <v>160</v>
      </c>
    </row>
    <row r="2343" spans="1:6">
      <c r="A2343" s="1">
        <v>43708</v>
      </c>
      <c r="B2343" t="s">
        <v>2489</v>
      </c>
      <c r="C2343" t="s">
        <v>119</v>
      </c>
      <c r="D2343" t="s">
        <v>141</v>
      </c>
      <c r="E2343" t="s">
        <v>134</v>
      </c>
      <c r="F2343" s="2">
        <v>180</v>
      </c>
    </row>
    <row r="2344" spans="1:6">
      <c r="A2344" s="1">
        <v>43708</v>
      </c>
      <c r="B2344" t="s">
        <v>2490</v>
      </c>
      <c r="C2344" t="s">
        <v>143</v>
      </c>
      <c r="D2344" t="s">
        <v>120</v>
      </c>
      <c r="E2344" t="s">
        <v>121</v>
      </c>
      <c r="F2344" s="2">
        <v>90</v>
      </c>
    </row>
    <row r="2345" spans="1:6">
      <c r="A2345" s="1">
        <v>43708</v>
      </c>
      <c r="B2345" t="s">
        <v>2491</v>
      </c>
      <c r="C2345" t="s">
        <v>125</v>
      </c>
      <c r="D2345" t="s">
        <v>141</v>
      </c>
      <c r="E2345" t="s">
        <v>131</v>
      </c>
      <c r="F2345" s="2">
        <v>180</v>
      </c>
    </row>
    <row r="2346" spans="1:6">
      <c r="A2346" s="1">
        <v>43709</v>
      </c>
      <c r="B2346" t="s">
        <v>2492</v>
      </c>
      <c r="C2346" t="s">
        <v>187</v>
      </c>
      <c r="D2346" t="s">
        <v>159</v>
      </c>
      <c r="E2346" t="s">
        <v>127</v>
      </c>
      <c r="F2346" s="2">
        <v>150</v>
      </c>
    </row>
    <row r="2347" spans="1:6">
      <c r="A2347" s="1">
        <v>43709</v>
      </c>
      <c r="B2347" t="s">
        <v>2493</v>
      </c>
      <c r="C2347" t="s">
        <v>125</v>
      </c>
      <c r="D2347" t="s">
        <v>133</v>
      </c>
      <c r="E2347" t="s">
        <v>121</v>
      </c>
      <c r="F2347" s="2">
        <v>30</v>
      </c>
    </row>
    <row r="2348" spans="1:6">
      <c r="A2348" s="1">
        <v>43709</v>
      </c>
      <c r="B2348" t="s">
        <v>2494</v>
      </c>
      <c r="C2348" t="s">
        <v>145</v>
      </c>
      <c r="D2348" t="s">
        <v>159</v>
      </c>
      <c r="E2348" t="s">
        <v>153</v>
      </c>
      <c r="F2348" s="2">
        <v>150</v>
      </c>
    </row>
    <row r="2349" spans="1:6">
      <c r="A2349" s="1">
        <v>43709</v>
      </c>
      <c r="B2349" t="s">
        <v>2495</v>
      </c>
      <c r="C2349" t="s">
        <v>152</v>
      </c>
      <c r="D2349" t="s">
        <v>130</v>
      </c>
      <c r="E2349" t="s">
        <v>153</v>
      </c>
      <c r="F2349" s="2">
        <v>100</v>
      </c>
    </row>
    <row r="2350" spans="1:6">
      <c r="A2350" s="1">
        <v>43709</v>
      </c>
      <c r="B2350" t="s">
        <v>2496</v>
      </c>
      <c r="C2350" t="s">
        <v>138</v>
      </c>
      <c r="D2350" t="s">
        <v>146</v>
      </c>
      <c r="E2350" t="s">
        <v>131</v>
      </c>
      <c r="F2350" s="2">
        <v>50</v>
      </c>
    </row>
    <row r="2351" spans="1:6">
      <c r="A2351" s="1">
        <v>43709</v>
      </c>
      <c r="B2351" t="s">
        <v>2497</v>
      </c>
      <c r="C2351" t="s">
        <v>189</v>
      </c>
      <c r="D2351" t="s">
        <v>120</v>
      </c>
      <c r="E2351" t="s">
        <v>121</v>
      </c>
      <c r="F2351" s="2">
        <v>90</v>
      </c>
    </row>
    <row r="2352" spans="1:6">
      <c r="A2352" s="1">
        <v>43709</v>
      </c>
      <c r="B2352" t="s">
        <v>2498</v>
      </c>
      <c r="C2352" t="s">
        <v>148</v>
      </c>
      <c r="D2352" t="s">
        <v>146</v>
      </c>
      <c r="E2352" t="s">
        <v>127</v>
      </c>
      <c r="F2352" s="2">
        <v>50</v>
      </c>
    </row>
    <row r="2353" spans="1:6">
      <c r="A2353" s="1">
        <v>43709</v>
      </c>
      <c r="B2353" t="s">
        <v>2499</v>
      </c>
      <c r="C2353" t="s">
        <v>129</v>
      </c>
      <c r="D2353" t="s">
        <v>159</v>
      </c>
      <c r="E2353" t="s">
        <v>153</v>
      </c>
      <c r="F2353" s="2">
        <v>150</v>
      </c>
    </row>
    <row r="2354" spans="1:6">
      <c r="A2354" s="1">
        <v>43709</v>
      </c>
      <c r="B2354" t="s">
        <v>2500</v>
      </c>
      <c r="C2354" t="s">
        <v>145</v>
      </c>
      <c r="D2354" t="s">
        <v>130</v>
      </c>
      <c r="E2354" t="s">
        <v>131</v>
      </c>
      <c r="F2354" s="2">
        <v>100</v>
      </c>
    </row>
    <row r="2355" spans="1:6">
      <c r="A2355" s="1">
        <v>43710</v>
      </c>
      <c r="B2355" t="s">
        <v>2501</v>
      </c>
      <c r="C2355" t="s">
        <v>119</v>
      </c>
      <c r="D2355" t="s">
        <v>120</v>
      </c>
      <c r="E2355" t="s">
        <v>121</v>
      </c>
      <c r="F2355" s="2">
        <v>90</v>
      </c>
    </row>
    <row r="2356" spans="1:6">
      <c r="A2356" s="1">
        <v>43710</v>
      </c>
      <c r="B2356" t="s">
        <v>2502</v>
      </c>
      <c r="C2356" t="s">
        <v>119</v>
      </c>
      <c r="D2356" t="s">
        <v>159</v>
      </c>
      <c r="E2356" t="s">
        <v>121</v>
      </c>
      <c r="F2356" s="2">
        <v>150</v>
      </c>
    </row>
    <row r="2357" spans="1:6">
      <c r="A2357" s="1">
        <v>43710</v>
      </c>
      <c r="B2357" t="s">
        <v>2503</v>
      </c>
      <c r="C2357" t="s">
        <v>167</v>
      </c>
      <c r="D2357" t="s">
        <v>146</v>
      </c>
      <c r="E2357" t="s">
        <v>134</v>
      </c>
      <c r="F2357" s="2">
        <v>50</v>
      </c>
    </row>
    <row r="2358" spans="1:6">
      <c r="A2358" s="1">
        <v>43710</v>
      </c>
      <c r="B2358" t="s">
        <v>2504</v>
      </c>
      <c r="C2358" t="s">
        <v>152</v>
      </c>
      <c r="D2358" t="s">
        <v>130</v>
      </c>
      <c r="E2358" t="s">
        <v>121</v>
      </c>
      <c r="F2358" s="2">
        <v>100</v>
      </c>
    </row>
    <row r="2359" spans="1:6">
      <c r="A2359" s="1">
        <v>43710</v>
      </c>
      <c r="B2359" t="s">
        <v>2505</v>
      </c>
      <c r="C2359" t="s">
        <v>157</v>
      </c>
      <c r="D2359" t="s">
        <v>120</v>
      </c>
      <c r="E2359" t="s">
        <v>131</v>
      </c>
      <c r="F2359" s="2">
        <v>90</v>
      </c>
    </row>
    <row r="2360" spans="1:6">
      <c r="A2360" s="1">
        <v>43710</v>
      </c>
      <c r="B2360" t="s">
        <v>2506</v>
      </c>
      <c r="C2360" t="s">
        <v>182</v>
      </c>
      <c r="D2360" t="s">
        <v>159</v>
      </c>
      <c r="E2360" t="s">
        <v>121</v>
      </c>
      <c r="F2360" s="2">
        <v>150</v>
      </c>
    </row>
    <row r="2361" spans="1:6">
      <c r="A2361" s="1">
        <v>43710</v>
      </c>
      <c r="B2361" t="s">
        <v>2507</v>
      </c>
      <c r="C2361" t="s">
        <v>164</v>
      </c>
      <c r="D2361" t="s">
        <v>159</v>
      </c>
      <c r="E2361" t="s">
        <v>127</v>
      </c>
      <c r="F2361" s="2">
        <v>150</v>
      </c>
    </row>
    <row r="2362" spans="1:6">
      <c r="A2362" s="1">
        <v>43710</v>
      </c>
      <c r="B2362" t="s">
        <v>2508</v>
      </c>
      <c r="C2362" t="s">
        <v>187</v>
      </c>
      <c r="D2362" t="s">
        <v>130</v>
      </c>
      <c r="E2362" t="s">
        <v>153</v>
      </c>
      <c r="F2362" s="2">
        <v>100</v>
      </c>
    </row>
    <row r="2363" spans="1:6">
      <c r="A2363" s="1">
        <v>43710</v>
      </c>
      <c r="B2363" t="s">
        <v>2509</v>
      </c>
      <c r="C2363" t="s">
        <v>123</v>
      </c>
      <c r="D2363" t="s">
        <v>159</v>
      </c>
      <c r="E2363" t="s">
        <v>153</v>
      </c>
      <c r="F2363" s="2">
        <v>150</v>
      </c>
    </row>
    <row r="2364" spans="1:6">
      <c r="A2364" s="1">
        <v>43711</v>
      </c>
      <c r="B2364" t="s">
        <v>2510</v>
      </c>
      <c r="C2364" t="s">
        <v>123</v>
      </c>
      <c r="D2364" t="s">
        <v>141</v>
      </c>
      <c r="E2364" t="s">
        <v>127</v>
      </c>
      <c r="F2364" s="2">
        <v>180</v>
      </c>
    </row>
    <row r="2365" spans="1:6">
      <c r="A2365" s="1">
        <v>43711</v>
      </c>
      <c r="B2365" t="s">
        <v>2511</v>
      </c>
      <c r="C2365" t="s">
        <v>129</v>
      </c>
      <c r="D2365" t="s">
        <v>139</v>
      </c>
      <c r="E2365" t="s">
        <v>121</v>
      </c>
      <c r="F2365" s="2">
        <v>80</v>
      </c>
    </row>
    <row r="2366" spans="1:6">
      <c r="A2366" s="1">
        <v>43711</v>
      </c>
      <c r="B2366" t="s">
        <v>2512</v>
      </c>
      <c r="C2366" t="s">
        <v>167</v>
      </c>
      <c r="D2366" t="s">
        <v>141</v>
      </c>
      <c r="E2366" t="s">
        <v>121</v>
      </c>
      <c r="F2366" s="2">
        <v>180</v>
      </c>
    </row>
    <row r="2367" spans="1:6">
      <c r="A2367" s="1">
        <v>43711</v>
      </c>
      <c r="B2367" t="s">
        <v>2513</v>
      </c>
      <c r="C2367" t="s">
        <v>164</v>
      </c>
      <c r="D2367" t="s">
        <v>120</v>
      </c>
      <c r="E2367" t="s">
        <v>134</v>
      </c>
      <c r="F2367" s="2">
        <v>90</v>
      </c>
    </row>
    <row r="2368" spans="1:6">
      <c r="A2368" s="1">
        <v>43711</v>
      </c>
      <c r="B2368" t="s">
        <v>2514</v>
      </c>
      <c r="C2368" t="s">
        <v>152</v>
      </c>
      <c r="D2368" t="s">
        <v>130</v>
      </c>
      <c r="E2368" t="s">
        <v>131</v>
      </c>
      <c r="F2368" s="2">
        <v>100</v>
      </c>
    </row>
    <row r="2369" spans="1:6">
      <c r="A2369" s="1">
        <v>43711</v>
      </c>
      <c r="B2369" t="s">
        <v>2515</v>
      </c>
      <c r="C2369" t="s">
        <v>143</v>
      </c>
      <c r="D2369" t="s">
        <v>130</v>
      </c>
      <c r="E2369" t="s">
        <v>131</v>
      </c>
      <c r="F2369" s="2">
        <v>100</v>
      </c>
    </row>
    <row r="2370" spans="1:6">
      <c r="A2370" s="1">
        <v>43711</v>
      </c>
      <c r="B2370" t="s">
        <v>2516</v>
      </c>
      <c r="C2370" t="s">
        <v>189</v>
      </c>
      <c r="D2370" t="s">
        <v>141</v>
      </c>
      <c r="E2370" t="s">
        <v>153</v>
      </c>
      <c r="F2370" s="2">
        <v>180</v>
      </c>
    </row>
    <row r="2371" spans="1:6">
      <c r="A2371" s="1">
        <v>43711</v>
      </c>
      <c r="B2371" t="s">
        <v>2517</v>
      </c>
      <c r="C2371" t="s">
        <v>167</v>
      </c>
      <c r="D2371" t="s">
        <v>133</v>
      </c>
      <c r="E2371" t="s">
        <v>121</v>
      </c>
      <c r="F2371" s="2">
        <v>30</v>
      </c>
    </row>
    <row r="2372" spans="1:6">
      <c r="A2372" s="1">
        <v>43711</v>
      </c>
      <c r="B2372" t="s">
        <v>2518</v>
      </c>
      <c r="C2372" t="s">
        <v>182</v>
      </c>
      <c r="D2372" t="s">
        <v>126</v>
      </c>
      <c r="E2372" t="s">
        <v>127</v>
      </c>
      <c r="F2372" s="2">
        <v>160</v>
      </c>
    </row>
    <row r="2373" spans="1:6">
      <c r="A2373" s="1">
        <v>43711</v>
      </c>
      <c r="B2373" t="s">
        <v>2519</v>
      </c>
      <c r="C2373" t="s">
        <v>136</v>
      </c>
      <c r="D2373" t="s">
        <v>159</v>
      </c>
      <c r="E2373" t="s">
        <v>131</v>
      </c>
      <c r="F2373" s="2">
        <v>150</v>
      </c>
    </row>
    <row r="2374" spans="1:6">
      <c r="A2374" s="1">
        <v>43711</v>
      </c>
      <c r="B2374" t="s">
        <v>2520</v>
      </c>
      <c r="C2374" t="s">
        <v>152</v>
      </c>
      <c r="D2374" t="s">
        <v>133</v>
      </c>
      <c r="E2374" t="s">
        <v>134</v>
      </c>
      <c r="F2374" s="2">
        <v>30</v>
      </c>
    </row>
    <row r="2375" spans="1:6">
      <c r="A2375" s="1">
        <v>43711</v>
      </c>
      <c r="B2375" t="s">
        <v>2521</v>
      </c>
      <c r="C2375" t="s">
        <v>136</v>
      </c>
      <c r="D2375" t="s">
        <v>139</v>
      </c>
      <c r="E2375" t="s">
        <v>153</v>
      </c>
      <c r="F2375" s="2">
        <v>80</v>
      </c>
    </row>
    <row r="2376" spans="1:6">
      <c r="A2376" s="1">
        <v>43711</v>
      </c>
      <c r="B2376" t="s">
        <v>2522</v>
      </c>
      <c r="C2376" t="s">
        <v>136</v>
      </c>
      <c r="D2376" t="s">
        <v>120</v>
      </c>
      <c r="E2376" t="s">
        <v>134</v>
      </c>
      <c r="F2376" s="2">
        <v>90</v>
      </c>
    </row>
    <row r="2377" spans="1:6">
      <c r="A2377" s="1">
        <v>43712</v>
      </c>
      <c r="B2377" t="s">
        <v>2523</v>
      </c>
      <c r="C2377" t="s">
        <v>145</v>
      </c>
      <c r="D2377" t="s">
        <v>126</v>
      </c>
      <c r="E2377" t="s">
        <v>153</v>
      </c>
      <c r="F2377" s="2">
        <v>160</v>
      </c>
    </row>
    <row r="2378" spans="1:6">
      <c r="A2378" s="1">
        <v>43712</v>
      </c>
      <c r="B2378" t="s">
        <v>2524</v>
      </c>
      <c r="C2378" t="s">
        <v>145</v>
      </c>
      <c r="D2378" t="s">
        <v>139</v>
      </c>
      <c r="E2378" t="s">
        <v>153</v>
      </c>
      <c r="F2378" s="2">
        <v>80</v>
      </c>
    </row>
    <row r="2379" spans="1:6">
      <c r="A2379" s="1">
        <v>43712</v>
      </c>
      <c r="B2379" t="s">
        <v>2525</v>
      </c>
      <c r="C2379" t="s">
        <v>164</v>
      </c>
      <c r="D2379" t="s">
        <v>120</v>
      </c>
      <c r="E2379" t="s">
        <v>127</v>
      </c>
      <c r="F2379" s="2">
        <v>90</v>
      </c>
    </row>
    <row r="2380" spans="1:6">
      <c r="A2380" s="1">
        <v>43712</v>
      </c>
      <c r="B2380" t="s">
        <v>2526</v>
      </c>
      <c r="C2380" t="s">
        <v>189</v>
      </c>
      <c r="D2380" t="s">
        <v>133</v>
      </c>
      <c r="E2380" t="s">
        <v>134</v>
      </c>
      <c r="F2380" s="2">
        <v>30</v>
      </c>
    </row>
    <row r="2381" spans="1:6">
      <c r="A2381" s="1">
        <v>43712</v>
      </c>
      <c r="B2381" t="s">
        <v>2527</v>
      </c>
      <c r="C2381" t="s">
        <v>189</v>
      </c>
      <c r="D2381" t="s">
        <v>126</v>
      </c>
      <c r="E2381" t="s">
        <v>127</v>
      </c>
      <c r="F2381" s="2">
        <v>160</v>
      </c>
    </row>
    <row r="2382" spans="1:6">
      <c r="A2382" s="1">
        <v>43712</v>
      </c>
      <c r="B2382" t="s">
        <v>2528</v>
      </c>
      <c r="C2382" t="s">
        <v>189</v>
      </c>
      <c r="D2382" t="s">
        <v>139</v>
      </c>
      <c r="E2382" t="s">
        <v>134</v>
      </c>
      <c r="F2382" s="2">
        <v>80</v>
      </c>
    </row>
    <row r="2383" spans="1:6">
      <c r="A2383" s="1">
        <v>43713</v>
      </c>
      <c r="B2383" t="s">
        <v>2529</v>
      </c>
      <c r="C2383" t="s">
        <v>148</v>
      </c>
      <c r="D2383" t="s">
        <v>159</v>
      </c>
      <c r="E2383" t="s">
        <v>121</v>
      </c>
      <c r="F2383" s="2">
        <v>150</v>
      </c>
    </row>
    <row r="2384" spans="1:6">
      <c r="A2384" s="1">
        <v>43713</v>
      </c>
      <c r="B2384" t="s">
        <v>2530</v>
      </c>
      <c r="C2384" t="s">
        <v>182</v>
      </c>
      <c r="D2384" t="s">
        <v>120</v>
      </c>
      <c r="E2384" t="s">
        <v>153</v>
      </c>
      <c r="F2384" s="2">
        <v>90</v>
      </c>
    </row>
    <row r="2385" spans="1:6">
      <c r="A2385" s="1">
        <v>43713</v>
      </c>
      <c r="B2385" t="s">
        <v>2531</v>
      </c>
      <c r="C2385" t="s">
        <v>157</v>
      </c>
      <c r="D2385" t="s">
        <v>146</v>
      </c>
      <c r="E2385" t="s">
        <v>131</v>
      </c>
      <c r="F2385" s="2">
        <v>50</v>
      </c>
    </row>
    <row r="2386" spans="1:6">
      <c r="A2386" s="1">
        <v>43713</v>
      </c>
      <c r="B2386" t="s">
        <v>2532</v>
      </c>
      <c r="C2386" t="s">
        <v>125</v>
      </c>
      <c r="D2386" t="s">
        <v>133</v>
      </c>
      <c r="E2386" t="s">
        <v>153</v>
      </c>
      <c r="F2386" s="2">
        <v>30</v>
      </c>
    </row>
    <row r="2387" spans="1:6">
      <c r="A2387" s="1">
        <v>43713</v>
      </c>
      <c r="B2387" t="s">
        <v>2533</v>
      </c>
      <c r="C2387" t="s">
        <v>164</v>
      </c>
      <c r="D2387" t="s">
        <v>133</v>
      </c>
      <c r="E2387" t="s">
        <v>153</v>
      </c>
      <c r="F2387" s="2">
        <v>30</v>
      </c>
    </row>
    <row r="2388" spans="1:6">
      <c r="A2388" s="1">
        <v>43714</v>
      </c>
      <c r="B2388" t="s">
        <v>2534</v>
      </c>
      <c r="C2388" t="s">
        <v>223</v>
      </c>
      <c r="D2388" t="s">
        <v>159</v>
      </c>
      <c r="E2388" t="s">
        <v>134</v>
      </c>
      <c r="F2388" s="2">
        <v>150</v>
      </c>
    </row>
    <row r="2389" spans="1:6">
      <c r="A2389" s="1">
        <v>43714</v>
      </c>
      <c r="B2389" t="s">
        <v>2535</v>
      </c>
      <c r="C2389" t="s">
        <v>123</v>
      </c>
      <c r="D2389" t="s">
        <v>130</v>
      </c>
      <c r="E2389" t="s">
        <v>153</v>
      </c>
      <c r="F2389" s="2">
        <v>100</v>
      </c>
    </row>
    <row r="2390" spans="1:6">
      <c r="A2390" s="1">
        <v>43714</v>
      </c>
      <c r="B2390" t="s">
        <v>2536</v>
      </c>
      <c r="C2390" t="s">
        <v>189</v>
      </c>
      <c r="D2390" t="s">
        <v>141</v>
      </c>
      <c r="E2390" t="s">
        <v>131</v>
      </c>
      <c r="F2390" s="2">
        <v>180</v>
      </c>
    </row>
    <row r="2391" spans="1:6">
      <c r="A2391" s="1">
        <v>43714</v>
      </c>
      <c r="B2391" t="s">
        <v>2537</v>
      </c>
      <c r="C2391" t="s">
        <v>119</v>
      </c>
      <c r="D2391" t="s">
        <v>133</v>
      </c>
      <c r="E2391" t="s">
        <v>153</v>
      </c>
      <c r="F2391" s="2">
        <v>30</v>
      </c>
    </row>
    <row r="2392" spans="1:6">
      <c r="A2392" s="1">
        <v>43714</v>
      </c>
      <c r="B2392" t="s">
        <v>2538</v>
      </c>
      <c r="C2392" t="s">
        <v>119</v>
      </c>
      <c r="D2392" t="s">
        <v>133</v>
      </c>
      <c r="E2392" t="s">
        <v>127</v>
      </c>
      <c r="F2392" s="2">
        <v>30</v>
      </c>
    </row>
    <row r="2393" spans="1:6">
      <c r="A2393" s="1">
        <v>43714</v>
      </c>
      <c r="B2393" t="s">
        <v>2539</v>
      </c>
      <c r="C2393" t="s">
        <v>123</v>
      </c>
      <c r="D2393" t="s">
        <v>126</v>
      </c>
      <c r="E2393" t="s">
        <v>121</v>
      </c>
      <c r="F2393" s="2">
        <v>160</v>
      </c>
    </row>
    <row r="2394" spans="1:6">
      <c r="A2394" s="1">
        <v>43714</v>
      </c>
      <c r="B2394" t="s">
        <v>2540</v>
      </c>
      <c r="C2394" t="s">
        <v>136</v>
      </c>
      <c r="D2394" t="s">
        <v>120</v>
      </c>
      <c r="E2394" t="s">
        <v>131</v>
      </c>
      <c r="F2394" s="2">
        <v>90</v>
      </c>
    </row>
    <row r="2395" spans="1:6">
      <c r="A2395" s="1">
        <v>43715</v>
      </c>
      <c r="B2395" t="s">
        <v>2541</v>
      </c>
      <c r="C2395" t="s">
        <v>189</v>
      </c>
      <c r="D2395" t="s">
        <v>120</v>
      </c>
      <c r="E2395" t="s">
        <v>153</v>
      </c>
      <c r="F2395" s="2">
        <v>90</v>
      </c>
    </row>
    <row r="2396" spans="1:6">
      <c r="A2396" s="1">
        <v>43715</v>
      </c>
      <c r="B2396" t="s">
        <v>2542</v>
      </c>
      <c r="C2396" t="s">
        <v>125</v>
      </c>
      <c r="D2396" t="s">
        <v>126</v>
      </c>
      <c r="E2396" t="s">
        <v>127</v>
      </c>
      <c r="F2396" s="2">
        <v>160</v>
      </c>
    </row>
    <row r="2397" spans="1:6">
      <c r="A2397" s="1">
        <v>43715</v>
      </c>
      <c r="B2397" t="s">
        <v>2543</v>
      </c>
      <c r="C2397" t="s">
        <v>187</v>
      </c>
      <c r="D2397" t="s">
        <v>126</v>
      </c>
      <c r="E2397" t="s">
        <v>134</v>
      </c>
      <c r="F2397" s="2">
        <v>160</v>
      </c>
    </row>
    <row r="2398" spans="1:6">
      <c r="A2398" s="1">
        <v>43715</v>
      </c>
      <c r="B2398" t="s">
        <v>2544</v>
      </c>
      <c r="C2398" t="s">
        <v>223</v>
      </c>
      <c r="D2398" t="s">
        <v>126</v>
      </c>
      <c r="E2398" t="s">
        <v>131</v>
      </c>
      <c r="F2398" s="2">
        <v>160</v>
      </c>
    </row>
    <row r="2399" spans="1:6">
      <c r="A2399" s="1">
        <v>43715</v>
      </c>
      <c r="B2399" t="s">
        <v>2545</v>
      </c>
      <c r="C2399" t="s">
        <v>123</v>
      </c>
      <c r="D2399" t="s">
        <v>146</v>
      </c>
      <c r="E2399" t="s">
        <v>134</v>
      </c>
      <c r="F2399" s="2">
        <v>50</v>
      </c>
    </row>
    <row r="2400" spans="1:6">
      <c r="A2400" s="1">
        <v>43715</v>
      </c>
      <c r="B2400" t="s">
        <v>2546</v>
      </c>
      <c r="C2400" t="s">
        <v>148</v>
      </c>
      <c r="D2400" t="s">
        <v>139</v>
      </c>
      <c r="E2400" t="s">
        <v>121</v>
      </c>
      <c r="F2400" s="2">
        <v>80</v>
      </c>
    </row>
    <row r="2401" spans="1:6">
      <c r="A2401" s="1">
        <v>43715</v>
      </c>
      <c r="B2401" t="s">
        <v>2547</v>
      </c>
      <c r="C2401" t="s">
        <v>167</v>
      </c>
      <c r="D2401" t="s">
        <v>146</v>
      </c>
      <c r="E2401" t="s">
        <v>134</v>
      </c>
      <c r="F2401" s="2">
        <v>50</v>
      </c>
    </row>
    <row r="2402" spans="1:6">
      <c r="A2402" s="1">
        <v>43715</v>
      </c>
      <c r="B2402" t="s">
        <v>2548</v>
      </c>
      <c r="C2402" t="s">
        <v>123</v>
      </c>
      <c r="D2402" t="s">
        <v>159</v>
      </c>
      <c r="E2402" t="s">
        <v>134</v>
      </c>
      <c r="F2402" s="2">
        <v>150</v>
      </c>
    </row>
    <row r="2403" spans="1:6">
      <c r="A2403" s="1">
        <v>43715</v>
      </c>
      <c r="B2403" t="s">
        <v>2549</v>
      </c>
      <c r="C2403" t="s">
        <v>164</v>
      </c>
      <c r="D2403" t="s">
        <v>141</v>
      </c>
      <c r="E2403" t="s">
        <v>131</v>
      </c>
      <c r="F2403" s="2">
        <v>180</v>
      </c>
    </row>
    <row r="2404" spans="1:6">
      <c r="A2404" s="1">
        <v>43715</v>
      </c>
      <c r="B2404" t="s">
        <v>2550</v>
      </c>
      <c r="C2404" t="s">
        <v>167</v>
      </c>
      <c r="D2404" t="s">
        <v>159</v>
      </c>
      <c r="E2404" t="s">
        <v>131</v>
      </c>
      <c r="F2404" s="2">
        <v>150</v>
      </c>
    </row>
    <row r="2405" spans="1:6">
      <c r="A2405" s="1">
        <v>43716</v>
      </c>
      <c r="B2405" t="s">
        <v>2551</v>
      </c>
      <c r="C2405" t="s">
        <v>125</v>
      </c>
      <c r="D2405" t="s">
        <v>159</v>
      </c>
      <c r="E2405" t="s">
        <v>131</v>
      </c>
      <c r="F2405" s="2">
        <v>150</v>
      </c>
    </row>
    <row r="2406" spans="1:6">
      <c r="A2406" s="1">
        <v>43716</v>
      </c>
      <c r="B2406" t="s">
        <v>2552</v>
      </c>
      <c r="C2406" t="s">
        <v>138</v>
      </c>
      <c r="D2406" t="s">
        <v>130</v>
      </c>
      <c r="E2406" t="s">
        <v>121</v>
      </c>
      <c r="F2406" s="2">
        <v>100</v>
      </c>
    </row>
    <row r="2407" spans="1:6">
      <c r="A2407" s="1">
        <v>43716</v>
      </c>
      <c r="B2407" t="s">
        <v>2553</v>
      </c>
      <c r="C2407" t="s">
        <v>152</v>
      </c>
      <c r="D2407" t="s">
        <v>141</v>
      </c>
      <c r="E2407" t="s">
        <v>121</v>
      </c>
      <c r="F2407" s="2">
        <v>180</v>
      </c>
    </row>
    <row r="2408" spans="1:6">
      <c r="A2408" s="1">
        <v>43716</v>
      </c>
      <c r="B2408" t="s">
        <v>2554</v>
      </c>
      <c r="C2408" t="s">
        <v>145</v>
      </c>
      <c r="D2408" t="s">
        <v>130</v>
      </c>
      <c r="E2408" t="s">
        <v>131</v>
      </c>
      <c r="F2408" s="2">
        <v>100</v>
      </c>
    </row>
    <row r="2409" spans="1:6">
      <c r="A2409" s="1">
        <v>43716</v>
      </c>
      <c r="B2409" t="s">
        <v>2555</v>
      </c>
      <c r="C2409" t="s">
        <v>148</v>
      </c>
      <c r="D2409" t="s">
        <v>120</v>
      </c>
      <c r="E2409" t="s">
        <v>121</v>
      </c>
      <c r="F2409" s="2">
        <v>90</v>
      </c>
    </row>
    <row r="2410" spans="1:6">
      <c r="A2410" s="1">
        <v>43716</v>
      </c>
      <c r="B2410" t="s">
        <v>2556</v>
      </c>
      <c r="C2410" t="s">
        <v>119</v>
      </c>
      <c r="D2410" t="s">
        <v>159</v>
      </c>
      <c r="E2410" t="s">
        <v>131</v>
      </c>
      <c r="F2410" s="2">
        <v>150</v>
      </c>
    </row>
    <row r="2411" spans="1:6">
      <c r="A2411" s="1">
        <v>43716</v>
      </c>
      <c r="B2411" t="s">
        <v>2557</v>
      </c>
      <c r="C2411" t="s">
        <v>143</v>
      </c>
      <c r="D2411" t="s">
        <v>126</v>
      </c>
      <c r="E2411" t="s">
        <v>121</v>
      </c>
      <c r="F2411" s="2">
        <v>160</v>
      </c>
    </row>
    <row r="2412" spans="1:6">
      <c r="A2412" s="1">
        <v>43716</v>
      </c>
      <c r="B2412" t="s">
        <v>2558</v>
      </c>
      <c r="C2412" t="s">
        <v>152</v>
      </c>
      <c r="D2412" t="s">
        <v>146</v>
      </c>
      <c r="E2412" t="s">
        <v>153</v>
      </c>
      <c r="F2412" s="2">
        <v>50</v>
      </c>
    </row>
    <row r="2413" spans="1:6">
      <c r="A2413" s="1">
        <v>43716</v>
      </c>
      <c r="B2413" t="s">
        <v>2559</v>
      </c>
      <c r="C2413" t="s">
        <v>187</v>
      </c>
      <c r="D2413" t="s">
        <v>146</v>
      </c>
      <c r="E2413" t="s">
        <v>153</v>
      </c>
      <c r="F2413" s="2">
        <v>50</v>
      </c>
    </row>
    <row r="2414" spans="1:6">
      <c r="A2414" s="1">
        <v>43716</v>
      </c>
      <c r="B2414" t="s">
        <v>2560</v>
      </c>
      <c r="C2414" t="s">
        <v>138</v>
      </c>
      <c r="D2414" t="s">
        <v>159</v>
      </c>
      <c r="E2414" t="s">
        <v>134</v>
      </c>
      <c r="F2414" s="2">
        <v>150</v>
      </c>
    </row>
    <row r="2415" spans="1:6">
      <c r="A2415" s="1">
        <v>43717</v>
      </c>
      <c r="B2415" t="s">
        <v>2561</v>
      </c>
      <c r="C2415" t="s">
        <v>143</v>
      </c>
      <c r="D2415" t="s">
        <v>159</v>
      </c>
      <c r="E2415" t="s">
        <v>127</v>
      </c>
      <c r="F2415" s="2">
        <v>150</v>
      </c>
    </row>
    <row r="2416" spans="1:6">
      <c r="A2416" s="1">
        <v>43717</v>
      </c>
      <c r="B2416" t="s">
        <v>2562</v>
      </c>
      <c r="C2416" t="s">
        <v>189</v>
      </c>
      <c r="D2416" t="s">
        <v>139</v>
      </c>
      <c r="E2416" t="s">
        <v>153</v>
      </c>
      <c r="F2416" s="2">
        <v>80</v>
      </c>
    </row>
    <row r="2417" spans="1:6">
      <c r="A2417" s="1">
        <v>43717</v>
      </c>
      <c r="B2417" t="s">
        <v>2563</v>
      </c>
      <c r="C2417" t="s">
        <v>143</v>
      </c>
      <c r="D2417" t="s">
        <v>133</v>
      </c>
      <c r="E2417" t="s">
        <v>127</v>
      </c>
      <c r="F2417" s="2">
        <v>30</v>
      </c>
    </row>
    <row r="2418" spans="1:6">
      <c r="A2418" s="1">
        <v>43717</v>
      </c>
      <c r="B2418" t="s">
        <v>2564</v>
      </c>
      <c r="C2418" t="s">
        <v>148</v>
      </c>
      <c r="D2418" t="s">
        <v>139</v>
      </c>
      <c r="E2418" t="s">
        <v>121</v>
      </c>
      <c r="F2418" s="2">
        <v>80</v>
      </c>
    </row>
    <row r="2419" spans="1:6">
      <c r="A2419" s="1">
        <v>43717</v>
      </c>
      <c r="B2419" t="s">
        <v>2565</v>
      </c>
      <c r="C2419" t="s">
        <v>182</v>
      </c>
      <c r="D2419" t="s">
        <v>130</v>
      </c>
      <c r="E2419" t="s">
        <v>153</v>
      </c>
      <c r="F2419" s="2">
        <v>100</v>
      </c>
    </row>
    <row r="2420" spans="1:6">
      <c r="A2420" s="1">
        <v>43717</v>
      </c>
      <c r="B2420" t="s">
        <v>2566</v>
      </c>
      <c r="C2420" t="s">
        <v>143</v>
      </c>
      <c r="D2420" t="s">
        <v>120</v>
      </c>
      <c r="E2420" t="s">
        <v>131</v>
      </c>
      <c r="F2420" s="2">
        <v>90</v>
      </c>
    </row>
    <row r="2421" spans="1:6">
      <c r="A2421" s="1">
        <v>43717</v>
      </c>
      <c r="B2421" t="s">
        <v>2567</v>
      </c>
      <c r="C2421" t="s">
        <v>129</v>
      </c>
      <c r="D2421" t="s">
        <v>139</v>
      </c>
      <c r="E2421" t="s">
        <v>121</v>
      </c>
      <c r="F2421" s="2">
        <v>80</v>
      </c>
    </row>
    <row r="2422" spans="1:6">
      <c r="A2422" s="1">
        <v>43717</v>
      </c>
      <c r="B2422" t="s">
        <v>2568</v>
      </c>
      <c r="C2422" t="s">
        <v>145</v>
      </c>
      <c r="D2422" t="s">
        <v>139</v>
      </c>
      <c r="E2422" t="s">
        <v>134</v>
      </c>
      <c r="F2422" s="2">
        <v>80</v>
      </c>
    </row>
    <row r="2423" spans="1:6">
      <c r="A2423" s="1">
        <v>43717</v>
      </c>
      <c r="B2423" t="s">
        <v>2569</v>
      </c>
      <c r="C2423" t="s">
        <v>152</v>
      </c>
      <c r="D2423" t="s">
        <v>146</v>
      </c>
      <c r="E2423" t="s">
        <v>134</v>
      </c>
      <c r="F2423" s="2">
        <v>50</v>
      </c>
    </row>
    <row r="2424" spans="1:6">
      <c r="A2424" s="1">
        <v>43717</v>
      </c>
      <c r="B2424" t="s">
        <v>2570</v>
      </c>
      <c r="C2424" t="s">
        <v>123</v>
      </c>
      <c r="D2424" t="s">
        <v>139</v>
      </c>
      <c r="E2424" t="s">
        <v>134</v>
      </c>
      <c r="F2424" s="2">
        <v>80</v>
      </c>
    </row>
    <row r="2425" spans="1:6">
      <c r="A2425" s="1">
        <v>43717</v>
      </c>
      <c r="B2425" t="s">
        <v>2571</v>
      </c>
      <c r="C2425" t="s">
        <v>125</v>
      </c>
      <c r="D2425" t="s">
        <v>126</v>
      </c>
      <c r="E2425" t="s">
        <v>153</v>
      </c>
      <c r="F2425" s="2">
        <v>160</v>
      </c>
    </row>
    <row r="2426" spans="1:6">
      <c r="A2426" s="1">
        <v>43718</v>
      </c>
      <c r="B2426" t="s">
        <v>2572</v>
      </c>
      <c r="C2426" t="s">
        <v>187</v>
      </c>
      <c r="D2426" t="s">
        <v>130</v>
      </c>
      <c r="E2426" t="s">
        <v>134</v>
      </c>
      <c r="F2426" s="2">
        <v>100</v>
      </c>
    </row>
    <row r="2427" spans="1:6">
      <c r="A2427" s="1">
        <v>43718</v>
      </c>
      <c r="B2427" t="s">
        <v>2573</v>
      </c>
      <c r="C2427" t="s">
        <v>138</v>
      </c>
      <c r="D2427" t="s">
        <v>159</v>
      </c>
      <c r="E2427" t="s">
        <v>153</v>
      </c>
      <c r="F2427" s="2">
        <v>150</v>
      </c>
    </row>
    <row r="2428" spans="1:6">
      <c r="A2428" s="1">
        <v>43718</v>
      </c>
      <c r="B2428" t="s">
        <v>2574</v>
      </c>
      <c r="C2428" t="s">
        <v>167</v>
      </c>
      <c r="D2428" t="s">
        <v>126</v>
      </c>
      <c r="E2428" t="s">
        <v>153</v>
      </c>
      <c r="F2428" s="2">
        <v>160</v>
      </c>
    </row>
    <row r="2429" spans="1:6">
      <c r="A2429" s="1">
        <v>43718</v>
      </c>
      <c r="B2429" t="s">
        <v>2575</v>
      </c>
      <c r="C2429" t="s">
        <v>157</v>
      </c>
      <c r="D2429" t="s">
        <v>130</v>
      </c>
      <c r="E2429" t="s">
        <v>153</v>
      </c>
      <c r="F2429" s="2">
        <v>100</v>
      </c>
    </row>
    <row r="2430" spans="1:6">
      <c r="A2430" s="1">
        <v>43718</v>
      </c>
      <c r="B2430" t="s">
        <v>2576</v>
      </c>
      <c r="C2430" t="s">
        <v>223</v>
      </c>
      <c r="D2430" t="s">
        <v>130</v>
      </c>
      <c r="E2430" t="s">
        <v>131</v>
      </c>
      <c r="F2430" s="2">
        <v>100</v>
      </c>
    </row>
    <row r="2431" spans="1:6">
      <c r="A2431" s="1">
        <v>43718</v>
      </c>
      <c r="B2431" t="s">
        <v>2577</v>
      </c>
      <c r="C2431" t="s">
        <v>129</v>
      </c>
      <c r="D2431" t="s">
        <v>133</v>
      </c>
      <c r="E2431" t="s">
        <v>134</v>
      </c>
      <c r="F2431" s="2">
        <v>30</v>
      </c>
    </row>
    <row r="2432" spans="1:6">
      <c r="A2432" s="1">
        <v>43718</v>
      </c>
      <c r="B2432" t="s">
        <v>2578</v>
      </c>
      <c r="C2432" t="s">
        <v>189</v>
      </c>
      <c r="D2432" t="s">
        <v>159</v>
      </c>
      <c r="E2432" t="s">
        <v>134</v>
      </c>
      <c r="F2432" s="2">
        <v>150</v>
      </c>
    </row>
    <row r="2433" spans="1:6">
      <c r="A2433" s="1">
        <v>43719</v>
      </c>
      <c r="B2433" t="s">
        <v>2579</v>
      </c>
      <c r="C2433" t="s">
        <v>138</v>
      </c>
      <c r="D2433" t="s">
        <v>126</v>
      </c>
      <c r="E2433" t="s">
        <v>131</v>
      </c>
      <c r="F2433" s="2">
        <v>160</v>
      </c>
    </row>
    <row r="2434" spans="1:6">
      <c r="A2434" s="1">
        <v>43719</v>
      </c>
      <c r="B2434" t="s">
        <v>2580</v>
      </c>
      <c r="C2434" t="s">
        <v>143</v>
      </c>
      <c r="D2434" t="s">
        <v>141</v>
      </c>
      <c r="E2434" t="s">
        <v>121</v>
      </c>
      <c r="F2434" s="2">
        <v>180</v>
      </c>
    </row>
    <row r="2435" spans="1:6">
      <c r="A2435" s="1">
        <v>43719</v>
      </c>
      <c r="B2435" t="s">
        <v>2581</v>
      </c>
      <c r="C2435" t="s">
        <v>138</v>
      </c>
      <c r="D2435" t="s">
        <v>126</v>
      </c>
      <c r="E2435" t="s">
        <v>134</v>
      </c>
      <c r="F2435" s="2">
        <v>160</v>
      </c>
    </row>
    <row r="2436" spans="1:6">
      <c r="A2436" s="1">
        <v>43719</v>
      </c>
      <c r="B2436" t="s">
        <v>2582</v>
      </c>
      <c r="C2436" t="s">
        <v>119</v>
      </c>
      <c r="D2436" t="s">
        <v>130</v>
      </c>
      <c r="E2436" t="s">
        <v>153</v>
      </c>
      <c r="F2436" s="2">
        <v>100</v>
      </c>
    </row>
    <row r="2437" spans="1:6">
      <c r="A2437" s="1">
        <v>43719</v>
      </c>
      <c r="B2437" t="s">
        <v>2583</v>
      </c>
      <c r="C2437" t="s">
        <v>145</v>
      </c>
      <c r="D2437" t="s">
        <v>120</v>
      </c>
      <c r="E2437" t="s">
        <v>153</v>
      </c>
      <c r="F2437" s="2">
        <v>90</v>
      </c>
    </row>
    <row r="2438" spans="1:6">
      <c r="A2438" s="1">
        <v>43720</v>
      </c>
      <c r="B2438" t="s">
        <v>2584</v>
      </c>
      <c r="C2438" t="s">
        <v>119</v>
      </c>
      <c r="D2438" t="s">
        <v>126</v>
      </c>
      <c r="E2438" t="s">
        <v>127</v>
      </c>
      <c r="F2438" s="2">
        <v>160</v>
      </c>
    </row>
    <row r="2439" spans="1:6">
      <c r="A2439" s="1">
        <v>43720</v>
      </c>
      <c r="B2439" t="s">
        <v>2585</v>
      </c>
      <c r="C2439" t="s">
        <v>125</v>
      </c>
      <c r="D2439" t="s">
        <v>159</v>
      </c>
      <c r="E2439" t="s">
        <v>127</v>
      </c>
      <c r="F2439" s="2">
        <v>150</v>
      </c>
    </row>
    <row r="2440" spans="1:6">
      <c r="A2440" s="1">
        <v>43720</v>
      </c>
      <c r="B2440" t="s">
        <v>2586</v>
      </c>
      <c r="C2440" t="s">
        <v>182</v>
      </c>
      <c r="D2440" t="s">
        <v>159</v>
      </c>
      <c r="E2440" t="s">
        <v>127</v>
      </c>
      <c r="F2440" s="2">
        <v>150</v>
      </c>
    </row>
    <row r="2441" spans="1:6">
      <c r="A2441" s="1">
        <v>43720</v>
      </c>
      <c r="B2441" t="s">
        <v>2587</v>
      </c>
      <c r="C2441" t="s">
        <v>145</v>
      </c>
      <c r="D2441" t="s">
        <v>159</v>
      </c>
      <c r="E2441" t="s">
        <v>131</v>
      </c>
      <c r="F2441" s="2">
        <v>150</v>
      </c>
    </row>
    <row r="2442" spans="1:6">
      <c r="A2442" s="1">
        <v>43720</v>
      </c>
      <c r="B2442" t="s">
        <v>2588</v>
      </c>
      <c r="C2442" t="s">
        <v>138</v>
      </c>
      <c r="D2442" t="s">
        <v>159</v>
      </c>
      <c r="E2442" t="s">
        <v>121</v>
      </c>
      <c r="F2442" s="2">
        <v>150</v>
      </c>
    </row>
    <row r="2443" spans="1:6">
      <c r="A2443" s="1">
        <v>43720</v>
      </c>
      <c r="B2443" t="s">
        <v>2589</v>
      </c>
      <c r="C2443" t="s">
        <v>138</v>
      </c>
      <c r="D2443" t="s">
        <v>146</v>
      </c>
      <c r="E2443" t="s">
        <v>131</v>
      </c>
      <c r="F2443" s="2">
        <v>50</v>
      </c>
    </row>
    <row r="2444" spans="1:6">
      <c r="A2444" s="1">
        <v>43720</v>
      </c>
      <c r="B2444" t="s">
        <v>2590</v>
      </c>
      <c r="C2444" t="s">
        <v>189</v>
      </c>
      <c r="D2444" t="s">
        <v>139</v>
      </c>
      <c r="E2444" t="s">
        <v>127</v>
      </c>
      <c r="F2444" s="2">
        <v>80</v>
      </c>
    </row>
    <row r="2445" spans="1:6">
      <c r="A2445" s="1">
        <v>43721</v>
      </c>
      <c r="B2445" t="s">
        <v>2591</v>
      </c>
      <c r="C2445" t="s">
        <v>148</v>
      </c>
      <c r="D2445" t="s">
        <v>146</v>
      </c>
      <c r="E2445" t="s">
        <v>134</v>
      </c>
      <c r="F2445" s="2">
        <v>50</v>
      </c>
    </row>
    <row r="2446" spans="1:6">
      <c r="A2446" s="1">
        <v>43721</v>
      </c>
      <c r="B2446" t="s">
        <v>2592</v>
      </c>
      <c r="C2446" t="s">
        <v>143</v>
      </c>
      <c r="D2446" t="s">
        <v>141</v>
      </c>
      <c r="E2446" t="s">
        <v>127</v>
      </c>
      <c r="F2446" s="2">
        <v>180</v>
      </c>
    </row>
    <row r="2447" spans="1:6">
      <c r="A2447" s="1">
        <v>43721</v>
      </c>
      <c r="B2447" t="s">
        <v>2593</v>
      </c>
      <c r="C2447" t="s">
        <v>123</v>
      </c>
      <c r="D2447" t="s">
        <v>159</v>
      </c>
      <c r="E2447" t="s">
        <v>131</v>
      </c>
      <c r="F2447" s="2">
        <v>150</v>
      </c>
    </row>
    <row r="2448" spans="1:6">
      <c r="A2448" s="1">
        <v>43721</v>
      </c>
      <c r="B2448" t="s">
        <v>2594</v>
      </c>
      <c r="C2448" t="s">
        <v>182</v>
      </c>
      <c r="D2448" t="s">
        <v>146</v>
      </c>
      <c r="E2448" t="s">
        <v>134</v>
      </c>
      <c r="F2448" s="2">
        <v>50</v>
      </c>
    </row>
    <row r="2449" spans="1:6">
      <c r="A2449" s="1">
        <v>43721</v>
      </c>
      <c r="B2449" t="s">
        <v>2595</v>
      </c>
      <c r="C2449" t="s">
        <v>143</v>
      </c>
      <c r="D2449" t="s">
        <v>133</v>
      </c>
      <c r="E2449" t="s">
        <v>134</v>
      </c>
      <c r="F2449" s="2">
        <v>30</v>
      </c>
    </row>
    <row r="2450" spans="1:6">
      <c r="A2450" s="1">
        <v>43721</v>
      </c>
      <c r="B2450" t="s">
        <v>2596</v>
      </c>
      <c r="C2450" t="s">
        <v>143</v>
      </c>
      <c r="D2450" t="s">
        <v>120</v>
      </c>
      <c r="E2450" t="s">
        <v>127</v>
      </c>
      <c r="F2450" s="2">
        <v>90</v>
      </c>
    </row>
    <row r="2451" spans="1:6">
      <c r="A2451" s="1">
        <v>43721</v>
      </c>
      <c r="B2451" t="s">
        <v>2597</v>
      </c>
      <c r="C2451" t="s">
        <v>187</v>
      </c>
      <c r="D2451" t="s">
        <v>146</v>
      </c>
      <c r="E2451" t="s">
        <v>131</v>
      </c>
      <c r="F2451" s="2">
        <v>50</v>
      </c>
    </row>
    <row r="2452" spans="1:6">
      <c r="A2452" s="1">
        <v>43721</v>
      </c>
      <c r="B2452" t="s">
        <v>2598</v>
      </c>
      <c r="C2452" t="s">
        <v>136</v>
      </c>
      <c r="D2452" t="s">
        <v>159</v>
      </c>
      <c r="E2452" t="s">
        <v>153</v>
      </c>
      <c r="F2452" s="2">
        <v>150</v>
      </c>
    </row>
    <row r="2453" spans="1:6">
      <c r="A2453" s="1">
        <v>43721</v>
      </c>
      <c r="B2453" t="s">
        <v>2599</v>
      </c>
      <c r="C2453" t="s">
        <v>119</v>
      </c>
      <c r="D2453" t="s">
        <v>139</v>
      </c>
      <c r="E2453" t="s">
        <v>127</v>
      </c>
      <c r="F2453" s="2">
        <v>80</v>
      </c>
    </row>
    <row r="2454" spans="1:6">
      <c r="A2454" s="1">
        <v>43721</v>
      </c>
      <c r="B2454" t="s">
        <v>2600</v>
      </c>
      <c r="C2454" t="s">
        <v>152</v>
      </c>
      <c r="D2454" t="s">
        <v>141</v>
      </c>
      <c r="E2454" t="s">
        <v>134</v>
      </c>
      <c r="F2454" s="2">
        <v>180</v>
      </c>
    </row>
    <row r="2455" spans="1:6">
      <c r="A2455" s="1">
        <v>43721</v>
      </c>
      <c r="B2455" t="s">
        <v>2601</v>
      </c>
      <c r="C2455" t="s">
        <v>125</v>
      </c>
      <c r="D2455" t="s">
        <v>130</v>
      </c>
      <c r="E2455" t="s">
        <v>127</v>
      </c>
      <c r="F2455" s="2">
        <v>100</v>
      </c>
    </row>
    <row r="2456" spans="1:6">
      <c r="A2456" s="1">
        <v>43722</v>
      </c>
      <c r="B2456" t="s">
        <v>2602</v>
      </c>
      <c r="C2456" t="s">
        <v>189</v>
      </c>
      <c r="D2456" t="s">
        <v>126</v>
      </c>
      <c r="E2456" t="s">
        <v>134</v>
      </c>
      <c r="F2456" s="2">
        <v>160</v>
      </c>
    </row>
    <row r="2457" spans="1:6">
      <c r="A2457" s="1">
        <v>43722</v>
      </c>
      <c r="B2457" t="s">
        <v>2603</v>
      </c>
      <c r="C2457" t="s">
        <v>145</v>
      </c>
      <c r="D2457" t="s">
        <v>130</v>
      </c>
      <c r="E2457" t="s">
        <v>127</v>
      </c>
      <c r="F2457" s="2">
        <v>100</v>
      </c>
    </row>
    <row r="2458" spans="1:6">
      <c r="A2458" s="1">
        <v>43722</v>
      </c>
      <c r="B2458" t="s">
        <v>2604</v>
      </c>
      <c r="C2458" t="s">
        <v>157</v>
      </c>
      <c r="D2458" t="s">
        <v>141</v>
      </c>
      <c r="E2458" t="s">
        <v>134</v>
      </c>
      <c r="F2458" s="2">
        <v>180</v>
      </c>
    </row>
    <row r="2459" spans="1:6">
      <c r="A2459" s="1">
        <v>43722</v>
      </c>
      <c r="B2459" t="s">
        <v>2605</v>
      </c>
      <c r="C2459" t="s">
        <v>189</v>
      </c>
      <c r="D2459" t="s">
        <v>120</v>
      </c>
      <c r="E2459" t="s">
        <v>134</v>
      </c>
      <c r="F2459" s="2">
        <v>90</v>
      </c>
    </row>
    <row r="2460" spans="1:6">
      <c r="A2460" s="1">
        <v>43722</v>
      </c>
      <c r="B2460" t="s">
        <v>2606</v>
      </c>
      <c r="C2460" t="s">
        <v>143</v>
      </c>
      <c r="D2460" t="s">
        <v>146</v>
      </c>
      <c r="E2460" t="s">
        <v>127</v>
      </c>
      <c r="F2460" s="2">
        <v>50</v>
      </c>
    </row>
    <row r="2461" spans="1:6">
      <c r="A2461" s="1">
        <v>43723</v>
      </c>
      <c r="B2461" t="s">
        <v>2607</v>
      </c>
      <c r="C2461" t="s">
        <v>167</v>
      </c>
      <c r="D2461" t="s">
        <v>146</v>
      </c>
      <c r="E2461" t="s">
        <v>153</v>
      </c>
      <c r="F2461" s="2">
        <v>50</v>
      </c>
    </row>
    <row r="2462" spans="1:6">
      <c r="A2462" s="1">
        <v>43723</v>
      </c>
      <c r="B2462" t="s">
        <v>2608</v>
      </c>
      <c r="C2462" t="s">
        <v>182</v>
      </c>
      <c r="D2462" t="s">
        <v>141</v>
      </c>
      <c r="E2462" t="s">
        <v>134</v>
      </c>
      <c r="F2462" s="2">
        <v>180</v>
      </c>
    </row>
    <row r="2463" spans="1:6">
      <c r="A2463" s="1">
        <v>43723</v>
      </c>
      <c r="B2463" t="s">
        <v>2609</v>
      </c>
      <c r="C2463" t="s">
        <v>119</v>
      </c>
      <c r="D2463" t="s">
        <v>139</v>
      </c>
      <c r="E2463" t="s">
        <v>121</v>
      </c>
      <c r="F2463" s="2">
        <v>80</v>
      </c>
    </row>
    <row r="2464" spans="1:6">
      <c r="A2464" s="1">
        <v>43723</v>
      </c>
      <c r="B2464" t="s">
        <v>2610</v>
      </c>
      <c r="C2464" t="s">
        <v>182</v>
      </c>
      <c r="D2464" t="s">
        <v>133</v>
      </c>
      <c r="E2464" t="s">
        <v>121</v>
      </c>
      <c r="F2464" s="2">
        <v>30</v>
      </c>
    </row>
    <row r="2465" spans="1:6">
      <c r="A2465" s="1">
        <v>43723</v>
      </c>
      <c r="B2465" t="s">
        <v>2611</v>
      </c>
      <c r="C2465" t="s">
        <v>138</v>
      </c>
      <c r="D2465" t="s">
        <v>139</v>
      </c>
      <c r="E2465" t="s">
        <v>131</v>
      </c>
      <c r="F2465" s="2">
        <v>80</v>
      </c>
    </row>
    <row r="2466" spans="1:6">
      <c r="A2466" s="1">
        <v>43723</v>
      </c>
      <c r="B2466" t="s">
        <v>2612</v>
      </c>
      <c r="C2466" t="s">
        <v>164</v>
      </c>
      <c r="D2466" t="s">
        <v>159</v>
      </c>
      <c r="E2466" t="s">
        <v>121</v>
      </c>
      <c r="F2466" s="2">
        <v>150</v>
      </c>
    </row>
    <row r="2467" spans="1:6">
      <c r="A2467" s="1">
        <v>43724</v>
      </c>
      <c r="B2467" t="s">
        <v>2613</v>
      </c>
      <c r="C2467" t="s">
        <v>145</v>
      </c>
      <c r="D2467" t="s">
        <v>159</v>
      </c>
      <c r="E2467" t="s">
        <v>127</v>
      </c>
      <c r="F2467" s="2">
        <v>150</v>
      </c>
    </row>
    <row r="2468" spans="1:6">
      <c r="A2468" s="1">
        <v>43724</v>
      </c>
      <c r="B2468" t="s">
        <v>2614</v>
      </c>
      <c r="C2468" t="s">
        <v>125</v>
      </c>
      <c r="D2468" t="s">
        <v>159</v>
      </c>
      <c r="E2468" t="s">
        <v>127</v>
      </c>
      <c r="F2468" s="2">
        <v>150</v>
      </c>
    </row>
    <row r="2469" spans="1:6">
      <c r="A2469" s="1">
        <v>43724</v>
      </c>
      <c r="B2469" t="s">
        <v>2615</v>
      </c>
      <c r="C2469" t="s">
        <v>119</v>
      </c>
      <c r="D2469" t="s">
        <v>139</v>
      </c>
      <c r="E2469" t="s">
        <v>131</v>
      </c>
      <c r="F2469" s="2">
        <v>80</v>
      </c>
    </row>
    <row r="2470" spans="1:6">
      <c r="A2470" s="1">
        <v>43724</v>
      </c>
      <c r="B2470" t="s">
        <v>2616</v>
      </c>
      <c r="C2470" t="s">
        <v>187</v>
      </c>
      <c r="D2470" t="s">
        <v>141</v>
      </c>
      <c r="E2470" t="s">
        <v>121</v>
      </c>
      <c r="F2470" s="2">
        <v>180</v>
      </c>
    </row>
    <row r="2471" spans="1:6">
      <c r="A2471" s="1">
        <v>43724</v>
      </c>
      <c r="B2471" t="s">
        <v>2617</v>
      </c>
      <c r="C2471" t="s">
        <v>145</v>
      </c>
      <c r="D2471" t="s">
        <v>159</v>
      </c>
      <c r="E2471" t="s">
        <v>131</v>
      </c>
      <c r="F2471" s="2">
        <v>150</v>
      </c>
    </row>
    <row r="2472" spans="1:6">
      <c r="A2472" s="1">
        <v>43724</v>
      </c>
      <c r="B2472" t="s">
        <v>2618</v>
      </c>
      <c r="C2472" t="s">
        <v>223</v>
      </c>
      <c r="D2472" t="s">
        <v>120</v>
      </c>
      <c r="E2472" t="s">
        <v>131</v>
      </c>
      <c r="F2472" s="2">
        <v>90</v>
      </c>
    </row>
    <row r="2473" spans="1:6">
      <c r="A2473" s="1">
        <v>43724</v>
      </c>
      <c r="B2473" t="s">
        <v>2619</v>
      </c>
      <c r="C2473" t="s">
        <v>164</v>
      </c>
      <c r="D2473" t="s">
        <v>120</v>
      </c>
      <c r="E2473" t="s">
        <v>127</v>
      </c>
      <c r="F2473" s="2">
        <v>90</v>
      </c>
    </row>
    <row r="2474" spans="1:6">
      <c r="A2474" s="1">
        <v>43724</v>
      </c>
      <c r="B2474" t="s">
        <v>2620</v>
      </c>
      <c r="C2474" t="s">
        <v>136</v>
      </c>
      <c r="D2474" t="s">
        <v>159</v>
      </c>
      <c r="E2474" t="s">
        <v>127</v>
      </c>
      <c r="F2474" s="2">
        <v>150</v>
      </c>
    </row>
    <row r="2475" spans="1:6">
      <c r="A2475" s="1">
        <v>43724</v>
      </c>
      <c r="B2475" t="s">
        <v>2621</v>
      </c>
      <c r="C2475" t="s">
        <v>182</v>
      </c>
      <c r="D2475" t="s">
        <v>126</v>
      </c>
      <c r="E2475" t="s">
        <v>131</v>
      </c>
      <c r="F2475" s="2">
        <v>160</v>
      </c>
    </row>
    <row r="2476" spans="1:6">
      <c r="A2476" s="1">
        <v>43724</v>
      </c>
      <c r="B2476" t="s">
        <v>2622</v>
      </c>
      <c r="C2476" t="s">
        <v>152</v>
      </c>
      <c r="D2476" t="s">
        <v>159</v>
      </c>
      <c r="E2476" t="s">
        <v>134</v>
      </c>
      <c r="F2476" s="2">
        <v>150</v>
      </c>
    </row>
    <row r="2477" spans="1:6">
      <c r="A2477" s="1">
        <v>43724</v>
      </c>
      <c r="B2477" t="s">
        <v>2623</v>
      </c>
      <c r="C2477" t="s">
        <v>119</v>
      </c>
      <c r="D2477" t="s">
        <v>159</v>
      </c>
      <c r="E2477" t="s">
        <v>134</v>
      </c>
      <c r="F2477" s="2">
        <v>150</v>
      </c>
    </row>
    <row r="2478" spans="1:6">
      <c r="A2478" s="1">
        <v>43724</v>
      </c>
      <c r="B2478" t="s">
        <v>2624</v>
      </c>
      <c r="C2478" t="s">
        <v>223</v>
      </c>
      <c r="D2478" t="s">
        <v>126</v>
      </c>
      <c r="E2478" t="s">
        <v>121</v>
      </c>
      <c r="F2478" s="2">
        <v>160</v>
      </c>
    </row>
    <row r="2479" spans="1:6">
      <c r="A2479" s="1">
        <v>43724</v>
      </c>
      <c r="B2479" t="s">
        <v>2625</v>
      </c>
      <c r="C2479" t="s">
        <v>182</v>
      </c>
      <c r="D2479" t="s">
        <v>139</v>
      </c>
      <c r="E2479" t="s">
        <v>134</v>
      </c>
      <c r="F2479" s="2">
        <v>80</v>
      </c>
    </row>
    <row r="2480" spans="1:6">
      <c r="A2480" s="1">
        <v>43725</v>
      </c>
      <c r="B2480" t="s">
        <v>2626</v>
      </c>
      <c r="C2480" t="s">
        <v>138</v>
      </c>
      <c r="D2480" t="s">
        <v>141</v>
      </c>
      <c r="E2480" t="s">
        <v>127</v>
      </c>
      <c r="F2480" s="2">
        <v>180</v>
      </c>
    </row>
    <row r="2481" spans="1:6">
      <c r="A2481" s="1">
        <v>43725</v>
      </c>
      <c r="B2481" t="s">
        <v>2627</v>
      </c>
      <c r="C2481" t="s">
        <v>164</v>
      </c>
      <c r="D2481" t="s">
        <v>141</v>
      </c>
      <c r="E2481" t="s">
        <v>131</v>
      </c>
      <c r="F2481" s="2">
        <v>180</v>
      </c>
    </row>
    <row r="2482" spans="1:6">
      <c r="A2482" s="1">
        <v>43725</v>
      </c>
      <c r="B2482" t="s">
        <v>2628</v>
      </c>
      <c r="C2482" t="s">
        <v>152</v>
      </c>
      <c r="D2482" t="s">
        <v>133</v>
      </c>
      <c r="E2482" t="s">
        <v>134</v>
      </c>
      <c r="F2482" s="2">
        <v>30</v>
      </c>
    </row>
    <row r="2483" spans="1:6">
      <c r="A2483" s="1">
        <v>43725</v>
      </c>
      <c r="B2483" t="s">
        <v>2629</v>
      </c>
      <c r="C2483" t="s">
        <v>129</v>
      </c>
      <c r="D2483" t="s">
        <v>141</v>
      </c>
      <c r="E2483" t="s">
        <v>127</v>
      </c>
      <c r="F2483" s="2">
        <v>180</v>
      </c>
    </row>
    <row r="2484" spans="1:6">
      <c r="A2484" s="1">
        <v>43725</v>
      </c>
      <c r="B2484" t="s">
        <v>2630</v>
      </c>
      <c r="C2484" t="s">
        <v>119</v>
      </c>
      <c r="D2484" t="s">
        <v>139</v>
      </c>
      <c r="E2484" t="s">
        <v>121</v>
      </c>
      <c r="F2484" s="2">
        <v>80</v>
      </c>
    </row>
    <row r="2485" spans="1:6">
      <c r="A2485" s="1">
        <v>43725</v>
      </c>
      <c r="B2485" t="s">
        <v>2631</v>
      </c>
      <c r="C2485" t="s">
        <v>138</v>
      </c>
      <c r="D2485" t="s">
        <v>120</v>
      </c>
      <c r="E2485" t="s">
        <v>121</v>
      </c>
      <c r="F2485" s="2">
        <v>90</v>
      </c>
    </row>
    <row r="2486" spans="1:6">
      <c r="A2486" s="1">
        <v>43725</v>
      </c>
      <c r="B2486" t="s">
        <v>2632</v>
      </c>
      <c r="C2486" t="s">
        <v>164</v>
      </c>
      <c r="D2486" t="s">
        <v>141</v>
      </c>
      <c r="E2486" t="s">
        <v>131</v>
      </c>
      <c r="F2486" s="2">
        <v>180</v>
      </c>
    </row>
    <row r="2487" spans="1:6">
      <c r="A2487" s="1">
        <v>43726</v>
      </c>
      <c r="B2487" t="s">
        <v>2633</v>
      </c>
      <c r="C2487" t="s">
        <v>223</v>
      </c>
      <c r="D2487" t="s">
        <v>146</v>
      </c>
      <c r="E2487" t="s">
        <v>153</v>
      </c>
      <c r="F2487" s="2">
        <v>50</v>
      </c>
    </row>
    <row r="2488" spans="1:6">
      <c r="A2488" s="1">
        <v>43726</v>
      </c>
      <c r="B2488" t="s">
        <v>2634</v>
      </c>
      <c r="C2488" t="s">
        <v>136</v>
      </c>
      <c r="D2488" t="s">
        <v>141</v>
      </c>
      <c r="E2488" t="s">
        <v>134</v>
      </c>
      <c r="F2488" s="2">
        <v>180</v>
      </c>
    </row>
    <row r="2489" spans="1:6">
      <c r="A2489" s="1">
        <v>43726</v>
      </c>
      <c r="B2489" t="s">
        <v>2635</v>
      </c>
      <c r="C2489" t="s">
        <v>157</v>
      </c>
      <c r="D2489" t="s">
        <v>130</v>
      </c>
      <c r="E2489" t="s">
        <v>131</v>
      </c>
      <c r="F2489" s="2">
        <v>100</v>
      </c>
    </row>
    <row r="2490" spans="1:6">
      <c r="A2490" s="1">
        <v>43726</v>
      </c>
      <c r="B2490" t="s">
        <v>2636</v>
      </c>
      <c r="C2490" t="s">
        <v>125</v>
      </c>
      <c r="D2490" t="s">
        <v>146</v>
      </c>
      <c r="E2490" t="s">
        <v>131</v>
      </c>
      <c r="F2490" s="2">
        <v>50</v>
      </c>
    </row>
    <row r="2491" spans="1:6">
      <c r="A2491" s="1">
        <v>43726</v>
      </c>
      <c r="B2491" t="s">
        <v>2637</v>
      </c>
      <c r="C2491" t="s">
        <v>119</v>
      </c>
      <c r="D2491" t="s">
        <v>126</v>
      </c>
      <c r="E2491" t="s">
        <v>153</v>
      </c>
      <c r="F2491" s="2">
        <v>160</v>
      </c>
    </row>
    <row r="2492" spans="1:6">
      <c r="A2492" s="1">
        <v>43726</v>
      </c>
      <c r="B2492" t="s">
        <v>2638</v>
      </c>
      <c r="C2492" t="s">
        <v>129</v>
      </c>
      <c r="D2492" t="s">
        <v>126</v>
      </c>
      <c r="E2492" t="s">
        <v>131</v>
      </c>
      <c r="F2492" s="2">
        <v>160</v>
      </c>
    </row>
    <row r="2493" spans="1:6">
      <c r="A2493" s="1">
        <v>43726</v>
      </c>
      <c r="B2493" t="s">
        <v>2639</v>
      </c>
      <c r="C2493" t="s">
        <v>138</v>
      </c>
      <c r="D2493" t="s">
        <v>120</v>
      </c>
      <c r="E2493" t="s">
        <v>134</v>
      </c>
      <c r="F2493" s="2">
        <v>90</v>
      </c>
    </row>
    <row r="2494" spans="1:6">
      <c r="A2494" s="1">
        <v>43726</v>
      </c>
      <c r="B2494" t="s">
        <v>2640</v>
      </c>
      <c r="C2494" t="s">
        <v>129</v>
      </c>
      <c r="D2494" t="s">
        <v>120</v>
      </c>
      <c r="E2494" t="s">
        <v>131</v>
      </c>
      <c r="F2494" s="2">
        <v>90</v>
      </c>
    </row>
    <row r="2495" spans="1:6">
      <c r="A2495" s="1">
        <v>43726</v>
      </c>
      <c r="B2495" t="s">
        <v>2641</v>
      </c>
      <c r="C2495" t="s">
        <v>145</v>
      </c>
      <c r="D2495" t="s">
        <v>126</v>
      </c>
      <c r="E2495" t="s">
        <v>131</v>
      </c>
      <c r="F2495" s="2">
        <v>160</v>
      </c>
    </row>
    <row r="2496" spans="1:6">
      <c r="A2496" s="1">
        <v>43726</v>
      </c>
      <c r="B2496" t="s">
        <v>2642</v>
      </c>
      <c r="C2496" t="s">
        <v>152</v>
      </c>
      <c r="D2496" t="s">
        <v>139</v>
      </c>
      <c r="E2496" t="s">
        <v>127</v>
      </c>
      <c r="F2496" s="2">
        <v>80</v>
      </c>
    </row>
    <row r="2497" spans="1:6">
      <c r="A2497" s="1">
        <v>43726</v>
      </c>
      <c r="B2497" t="s">
        <v>2643</v>
      </c>
      <c r="C2497" t="s">
        <v>182</v>
      </c>
      <c r="D2497" t="s">
        <v>130</v>
      </c>
      <c r="E2497" t="s">
        <v>131</v>
      </c>
      <c r="F2497" s="2">
        <v>100</v>
      </c>
    </row>
    <row r="2498" spans="1:6">
      <c r="A2498" s="1">
        <v>43727</v>
      </c>
      <c r="B2498" t="s">
        <v>2644</v>
      </c>
      <c r="C2498" t="s">
        <v>123</v>
      </c>
      <c r="D2498" t="s">
        <v>130</v>
      </c>
      <c r="E2498" t="s">
        <v>121</v>
      </c>
      <c r="F2498" s="2">
        <v>100</v>
      </c>
    </row>
    <row r="2499" spans="1:6">
      <c r="A2499" s="1">
        <v>43727</v>
      </c>
      <c r="B2499" t="s">
        <v>2645</v>
      </c>
      <c r="C2499" t="s">
        <v>157</v>
      </c>
      <c r="D2499" t="s">
        <v>146</v>
      </c>
      <c r="E2499" t="s">
        <v>134</v>
      </c>
      <c r="F2499" s="2">
        <v>50</v>
      </c>
    </row>
    <row r="2500" spans="1:6">
      <c r="A2500" s="1">
        <v>43727</v>
      </c>
      <c r="B2500" t="s">
        <v>2646</v>
      </c>
      <c r="C2500" t="s">
        <v>152</v>
      </c>
      <c r="D2500" t="s">
        <v>146</v>
      </c>
      <c r="E2500" t="s">
        <v>127</v>
      </c>
      <c r="F2500" s="2">
        <v>50</v>
      </c>
    </row>
    <row r="2501" spans="1:6">
      <c r="A2501" s="1">
        <v>43727</v>
      </c>
      <c r="B2501" t="s">
        <v>2647</v>
      </c>
      <c r="C2501" t="s">
        <v>145</v>
      </c>
      <c r="D2501" t="s">
        <v>139</v>
      </c>
      <c r="E2501" t="s">
        <v>134</v>
      </c>
      <c r="F2501" s="2">
        <v>80</v>
      </c>
    </row>
    <row r="2502" spans="1:6">
      <c r="A2502" s="1">
        <v>43727</v>
      </c>
      <c r="B2502" t="s">
        <v>2648</v>
      </c>
      <c r="C2502" t="s">
        <v>145</v>
      </c>
      <c r="D2502" t="s">
        <v>120</v>
      </c>
      <c r="E2502" t="s">
        <v>131</v>
      </c>
      <c r="F2502" s="2">
        <v>90</v>
      </c>
    </row>
    <row r="2503" spans="1:6">
      <c r="A2503" s="1">
        <v>43727</v>
      </c>
      <c r="B2503" t="s">
        <v>2649</v>
      </c>
      <c r="C2503" t="s">
        <v>143</v>
      </c>
      <c r="D2503" t="s">
        <v>126</v>
      </c>
      <c r="E2503" t="s">
        <v>127</v>
      </c>
      <c r="F2503" s="2">
        <v>160</v>
      </c>
    </row>
    <row r="2504" spans="1:6">
      <c r="A2504" s="1">
        <v>43727</v>
      </c>
      <c r="B2504" t="s">
        <v>2650</v>
      </c>
      <c r="C2504" t="s">
        <v>167</v>
      </c>
      <c r="D2504" t="s">
        <v>130</v>
      </c>
      <c r="E2504" t="s">
        <v>131</v>
      </c>
      <c r="F2504" s="2">
        <v>100</v>
      </c>
    </row>
    <row r="2505" spans="1:6">
      <c r="A2505" s="1">
        <v>43727</v>
      </c>
      <c r="B2505" t="s">
        <v>2651</v>
      </c>
      <c r="C2505" t="s">
        <v>182</v>
      </c>
      <c r="D2505" t="s">
        <v>146</v>
      </c>
      <c r="E2505" t="s">
        <v>134</v>
      </c>
      <c r="F2505" s="2">
        <v>50</v>
      </c>
    </row>
    <row r="2506" spans="1:6">
      <c r="A2506" s="1">
        <v>43728</v>
      </c>
      <c r="B2506" t="s">
        <v>2652</v>
      </c>
      <c r="C2506" t="s">
        <v>136</v>
      </c>
      <c r="D2506" t="s">
        <v>146</v>
      </c>
      <c r="E2506" t="s">
        <v>131</v>
      </c>
      <c r="F2506" s="2">
        <v>50</v>
      </c>
    </row>
    <row r="2507" spans="1:6">
      <c r="A2507" s="1">
        <v>43728</v>
      </c>
      <c r="B2507" t="s">
        <v>2653</v>
      </c>
      <c r="C2507" t="s">
        <v>129</v>
      </c>
      <c r="D2507" t="s">
        <v>139</v>
      </c>
      <c r="E2507" t="s">
        <v>121</v>
      </c>
      <c r="F2507" s="2">
        <v>80</v>
      </c>
    </row>
    <row r="2508" spans="1:6">
      <c r="A2508" s="1">
        <v>43728</v>
      </c>
      <c r="B2508" t="s">
        <v>2654</v>
      </c>
      <c r="C2508" t="s">
        <v>187</v>
      </c>
      <c r="D2508" t="s">
        <v>159</v>
      </c>
      <c r="E2508" t="s">
        <v>131</v>
      </c>
      <c r="F2508" s="2">
        <v>150</v>
      </c>
    </row>
    <row r="2509" spans="1:6">
      <c r="A2509" s="1">
        <v>43728</v>
      </c>
      <c r="B2509" t="s">
        <v>2655</v>
      </c>
      <c r="C2509" t="s">
        <v>187</v>
      </c>
      <c r="D2509" t="s">
        <v>120</v>
      </c>
      <c r="E2509" t="s">
        <v>127</v>
      </c>
      <c r="F2509" s="2">
        <v>90</v>
      </c>
    </row>
    <row r="2510" spans="1:6">
      <c r="A2510" s="1">
        <v>43728</v>
      </c>
      <c r="B2510" t="s">
        <v>2656</v>
      </c>
      <c r="C2510" t="s">
        <v>143</v>
      </c>
      <c r="D2510" t="s">
        <v>159</v>
      </c>
      <c r="E2510" t="s">
        <v>127</v>
      </c>
      <c r="F2510" s="2">
        <v>150</v>
      </c>
    </row>
    <row r="2511" spans="1:6">
      <c r="A2511" s="1">
        <v>43728</v>
      </c>
      <c r="B2511" t="s">
        <v>2657</v>
      </c>
      <c r="C2511" t="s">
        <v>164</v>
      </c>
      <c r="D2511" t="s">
        <v>126</v>
      </c>
      <c r="E2511" t="s">
        <v>127</v>
      </c>
      <c r="F2511" s="2">
        <v>160</v>
      </c>
    </row>
    <row r="2512" spans="1:6">
      <c r="A2512" s="1">
        <v>43728</v>
      </c>
      <c r="B2512" t="s">
        <v>2658</v>
      </c>
      <c r="C2512" t="s">
        <v>119</v>
      </c>
      <c r="D2512" t="s">
        <v>120</v>
      </c>
      <c r="E2512" t="s">
        <v>134</v>
      </c>
      <c r="F2512" s="2">
        <v>90</v>
      </c>
    </row>
    <row r="2513" spans="1:6">
      <c r="A2513" s="1">
        <v>43728</v>
      </c>
      <c r="B2513" t="s">
        <v>2659</v>
      </c>
      <c r="C2513" t="s">
        <v>189</v>
      </c>
      <c r="D2513" t="s">
        <v>159</v>
      </c>
      <c r="E2513" t="s">
        <v>127</v>
      </c>
      <c r="F2513" s="2">
        <v>150</v>
      </c>
    </row>
    <row r="2514" spans="1:6">
      <c r="A2514" s="1">
        <v>43728</v>
      </c>
      <c r="B2514" t="s">
        <v>2660</v>
      </c>
      <c r="C2514" t="s">
        <v>189</v>
      </c>
      <c r="D2514" t="s">
        <v>139</v>
      </c>
      <c r="E2514" t="s">
        <v>131</v>
      </c>
      <c r="F2514" s="2">
        <v>80</v>
      </c>
    </row>
    <row r="2515" spans="1:6">
      <c r="A2515" s="1">
        <v>43728</v>
      </c>
      <c r="B2515" t="s">
        <v>2661</v>
      </c>
      <c r="C2515" t="s">
        <v>143</v>
      </c>
      <c r="D2515" t="s">
        <v>120</v>
      </c>
      <c r="E2515" t="s">
        <v>127</v>
      </c>
      <c r="F2515" s="2">
        <v>90</v>
      </c>
    </row>
    <row r="2516" spans="1:6">
      <c r="A2516" s="1">
        <v>43728</v>
      </c>
      <c r="B2516" t="s">
        <v>2662</v>
      </c>
      <c r="C2516" t="s">
        <v>138</v>
      </c>
      <c r="D2516" t="s">
        <v>139</v>
      </c>
      <c r="E2516" t="s">
        <v>127</v>
      </c>
      <c r="F2516" s="2">
        <v>80</v>
      </c>
    </row>
    <row r="2517" spans="1:6">
      <c r="A2517" s="1">
        <v>43728</v>
      </c>
      <c r="B2517" t="s">
        <v>2663</v>
      </c>
      <c r="C2517" t="s">
        <v>123</v>
      </c>
      <c r="D2517" t="s">
        <v>146</v>
      </c>
      <c r="E2517" t="s">
        <v>131</v>
      </c>
      <c r="F2517" s="2">
        <v>50</v>
      </c>
    </row>
    <row r="2518" spans="1:6">
      <c r="A2518" s="1">
        <v>43729</v>
      </c>
      <c r="B2518" t="s">
        <v>2664</v>
      </c>
      <c r="C2518" t="s">
        <v>189</v>
      </c>
      <c r="D2518" t="s">
        <v>146</v>
      </c>
      <c r="E2518" t="s">
        <v>153</v>
      </c>
      <c r="F2518" s="2">
        <v>50</v>
      </c>
    </row>
    <row r="2519" spans="1:6">
      <c r="A2519" s="1">
        <v>43729</v>
      </c>
      <c r="B2519" t="s">
        <v>2665</v>
      </c>
      <c r="C2519" t="s">
        <v>119</v>
      </c>
      <c r="D2519" t="s">
        <v>130</v>
      </c>
      <c r="E2519" t="s">
        <v>127</v>
      </c>
      <c r="F2519" s="2">
        <v>100</v>
      </c>
    </row>
    <row r="2520" spans="1:6">
      <c r="A2520" s="1">
        <v>43729</v>
      </c>
      <c r="B2520" t="s">
        <v>2666</v>
      </c>
      <c r="C2520" t="s">
        <v>157</v>
      </c>
      <c r="D2520" t="s">
        <v>146</v>
      </c>
      <c r="E2520" t="s">
        <v>127</v>
      </c>
      <c r="F2520" s="2">
        <v>50</v>
      </c>
    </row>
    <row r="2521" spans="1:6">
      <c r="A2521" s="1">
        <v>43729</v>
      </c>
      <c r="B2521" t="s">
        <v>2667</v>
      </c>
      <c r="C2521" t="s">
        <v>182</v>
      </c>
      <c r="D2521" t="s">
        <v>146</v>
      </c>
      <c r="E2521" t="s">
        <v>121</v>
      </c>
      <c r="F2521" s="2">
        <v>50</v>
      </c>
    </row>
    <row r="2522" spans="1:6">
      <c r="A2522" s="1">
        <v>43729</v>
      </c>
      <c r="B2522" t="s">
        <v>2668</v>
      </c>
      <c r="C2522" t="s">
        <v>223</v>
      </c>
      <c r="D2522" t="s">
        <v>141</v>
      </c>
      <c r="E2522" t="s">
        <v>121</v>
      </c>
      <c r="F2522" s="2">
        <v>180</v>
      </c>
    </row>
    <row r="2523" spans="1:6">
      <c r="A2523" s="1">
        <v>43729</v>
      </c>
      <c r="B2523" t="s">
        <v>2669</v>
      </c>
      <c r="C2523" t="s">
        <v>157</v>
      </c>
      <c r="D2523" t="s">
        <v>139</v>
      </c>
      <c r="E2523" t="s">
        <v>121</v>
      </c>
      <c r="F2523" s="2">
        <v>80</v>
      </c>
    </row>
    <row r="2524" spans="1:6">
      <c r="A2524" s="1">
        <v>43729</v>
      </c>
      <c r="B2524" t="s">
        <v>2670</v>
      </c>
      <c r="C2524" t="s">
        <v>138</v>
      </c>
      <c r="D2524" t="s">
        <v>141</v>
      </c>
      <c r="E2524" t="s">
        <v>134</v>
      </c>
      <c r="F2524" s="2">
        <v>180</v>
      </c>
    </row>
    <row r="2525" spans="1:6">
      <c r="A2525" s="1">
        <v>43729</v>
      </c>
      <c r="B2525" t="s">
        <v>2671</v>
      </c>
      <c r="C2525" t="s">
        <v>182</v>
      </c>
      <c r="D2525" t="s">
        <v>120</v>
      </c>
      <c r="E2525" t="s">
        <v>153</v>
      </c>
      <c r="F2525" s="2">
        <v>90</v>
      </c>
    </row>
    <row r="2526" spans="1:6">
      <c r="A2526" s="1">
        <v>43730</v>
      </c>
      <c r="B2526" t="s">
        <v>2672</v>
      </c>
      <c r="C2526" t="s">
        <v>136</v>
      </c>
      <c r="D2526" t="s">
        <v>159</v>
      </c>
      <c r="E2526" t="s">
        <v>134</v>
      </c>
      <c r="F2526" s="2">
        <v>150</v>
      </c>
    </row>
    <row r="2527" spans="1:6">
      <c r="A2527" s="1">
        <v>43730</v>
      </c>
      <c r="B2527" t="s">
        <v>2673</v>
      </c>
      <c r="C2527" t="s">
        <v>189</v>
      </c>
      <c r="D2527" t="s">
        <v>126</v>
      </c>
      <c r="E2527" t="s">
        <v>131</v>
      </c>
      <c r="F2527" s="2">
        <v>160</v>
      </c>
    </row>
    <row r="2528" spans="1:6">
      <c r="A2528" s="1">
        <v>43730</v>
      </c>
      <c r="B2528" t="s">
        <v>2674</v>
      </c>
      <c r="C2528" t="s">
        <v>189</v>
      </c>
      <c r="D2528" t="s">
        <v>159</v>
      </c>
      <c r="E2528" t="s">
        <v>134</v>
      </c>
      <c r="F2528" s="2">
        <v>150</v>
      </c>
    </row>
    <row r="2529" spans="1:6">
      <c r="A2529" s="1">
        <v>43730</v>
      </c>
      <c r="B2529" t="s">
        <v>2675</v>
      </c>
      <c r="C2529" t="s">
        <v>129</v>
      </c>
      <c r="D2529" t="s">
        <v>130</v>
      </c>
      <c r="E2529" t="s">
        <v>153</v>
      </c>
      <c r="F2529" s="2">
        <v>100</v>
      </c>
    </row>
    <row r="2530" spans="1:6">
      <c r="A2530" s="1">
        <v>43730</v>
      </c>
      <c r="B2530" t="s">
        <v>2676</v>
      </c>
      <c r="C2530" t="s">
        <v>123</v>
      </c>
      <c r="D2530" t="s">
        <v>139</v>
      </c>
      <c r="E2530" t="s">
        <v>153</v>
      </c>
      <c r="F2530" s="2">
        <v>80</v>
      </c>
    </row>
    <row r="2531" spans="1:6">
      <c r="A2531" s="1">
        <v>43730</v>
      </c>
      <c r="B2531" t="s">
        <v>2677</v>
      </c>
      <c r="C2531" t="s">
        <v>145</v>
      </c>
      <c r="D2531" t="s">
        <v>120</v>
      </c>
      <c r="E2531" t="s">
        <v>131</v>
      </c>
      <c r="F2531" s="2">
        <v>90</v>
      </c>
    </row>
    <row r="2532" spans="1:6">
      <c r="A2532" s="1">
        <v>43730</v>
      </c>
      <c r="B2532" t="s">
        <v>2678</v>
      </c>
      <c r="C2532" t="s">
        <v>189</v>
      </c>
      <c r="D2532" t="s">
        <v>159</v>
      </c>
      <c r="E2532" t="s">
        <v>134</v>
      </c>
      <c r="F2532" s="2">
        <v>150</v>
      </c>
    </row>
    <row r="2533" spans="1:6">
      <c r="A2533" s="1">
        <v>43730</v>
      </c>
      <c r="B2533" t="s">
        <v>2679</v>
      </c>
      <c r="C2533" t="s">
        <v>152</v>
      </c>
      <c r="D2533" t="s">
        <v>126</v>
      </c>
      <c r="E2533" t="s">
        <v>121</v>
      </c>
      <c r="F2533" s="2">
        <v>160</v>
      </c>
    </row>
    <row r="2534" spans="1:6">
      <c r="A2534" s="1">
        <v>43731</v>
      </c>
      <c r="B2534" t="s">
        <v>2680</v>
      </c>
      <c r="C2534" t="s">
        <v>167</v>
      </c>
      <c r="D2534" t="s">
        <v>146</v>
      </c>
      <c r="E2534" t="s">
        <v>153</v>
      </c>
      <c r="F2534" s="2">
        <v>50</v>
      </c>
    </row>
    <row r="2535" spans="1:6">
      <c r="A2535" s="1">
        <v>43731</v>
      </c>
      <c r="B2535" t="s">
        <v>2681</v>
      </c>
      <c r="C2535" t="s">
        <v>148</v>
      </c>
      <c r="D2535" t="s">
        <v>159</v>
      </c>
      <c r="E2535" t="s">
        <v>131</v>
      </c>
      <c r="F2535" s="2">
        <v>150</v>
      </c>
    </row>
    <row r="2536" spans="1:6">
      <c r="A2536" s="1">
        <v>43731</v>
      </c>
      <c r="B2536" t="s">
        <v>2682</v>
      </c>
      <c r="C2536" t="s">
        <v>125</v>
      </c>
      <c r="D2536" t="s">
        <v>146</v>
      </c>
      <c r="E2536" t="s">
        <v>134</v>
      </c>
      <c r="F2536" s="2">
        <v>50</v>
      </c>
    </row>
    <row r="2537" spans="1:6">
      <c r="A2537" s="1">
        <v>43731</v>
      </c>
      <c r="B2537" t="s">
        <v>2683</v>
      </c>
      <c r="C2537" t="s">
        <v>189</v>
      </c>
      <c r="D2537" t="s">
        <v>159</v>
      </c>
      <c r="E2537" t="s">
        <v>131</v>
      </c>
      <c r="F2537" s="2">
        <v>150</v>
      </c>
    </row>
    <row r="2538" spans="1:6">
      <c r="A2538" s="1">
        <v>43731</v>
      </c>
      <c r="B2538" t="s">
        <v>2684</v>
      </c>
      <c r="C2538" t="s">
        <v>138</v>
      </c>
      <c r="D2538" t="s">
        <v>126</v>
      </c>
      <c r="E2538" t="s">
        <v>153</v>
      </c>
      <c r="F2538" s="2">
        <v>160</v>
      </c>
    </row>
    <row r="2539" spans="1:6">
      <c r="A2539" s="1">
        <v>43731</v>
      </c>
      <c r="B2539" t="s">
        <v>2685</v>
      </c>
      <c r="C2539" t="s">
        <v>138</v>
      </c>
      <c r="D2539" t="s">
        <v>146</v>
      </c>
      <c r="E2539" t="s">
        <v>127</v>
      </c>
      <c r="F2539" s="2">
        <v>50</v>
      </c>
    </row>
    <row r="2540" spans="1:6">
      <c r="A2540" s="1">
        <v>43731</v>
      </c>
      <c r="B2540" t="s">
        <v>2686</v>
      </c>
      <c r="C2540" t="s">
        <v>223</v>
      </c>
      <c r="D2540" t="s">
        <v>141</v>
      </c>
      <c r="E2540" t="s">
        <v>153</v>
      </c>
      <c r="F2540" s="2">
        <v>180</v>
      </c>
    </row>
    <row r="2541" spans="1:6">
      <c r="A2541" s="1">
        <v>43731</v>
      </c>
      <c r="B2541" t="s">
        <v>2687</v>
      </c>
      <c r="C2541" t="s">
        <v>164</v>
      </c>
      <c r="D2541" t="s">
        <v>139</v>
      </c>
      <c r="E2541" t="s">
        <v>131</v>
      </c>
      <c r="F2541" s="2">
        <v>80</v>
      </c>
    </row>
    <row r="2542" spans="1:6">
      <c r="A2542" s="1">
        <v>43731</v>
      </c>
      <c r="B2542" t="s">
        <v>2688</v>
      </c>
      <c r="C2542" t="s">
        <v>148</v>
      </c>
      <c r="D2542" t="s">
        <v>120</v>
      </c>
      <c r="E2542" t="s">
        <v>127</v>
      </c>
      <c r="F2542" s="2">
        <v>90</v>
      </c>
    </row>
    <row r="2543" spans="1:6">
      <c r="A2543" s="1">
        <v>43731</v>
      </c>
      <c r="B2543" t="s">
        <v>2689</v>
      </c>
      <c r="C2543" t="s">
        <v>129</v>
      </c>
      <c r="D2543" t="s">
        <v>130</v>
      </c>
      <c r="E2543" t="s">
        <v>134</v>
      </c>
      <c r="F2543" s="2">
        <v>100</v>
      </c>
    </row>
    <row r="2544" spans="1:6">
      <c r="A2544" s="1">
        <v>43731</v>
      </c>
      <c r="B2544" t="s">
        <v>2690</v>
      </c>
      <c r="C2544" t="s">
        <v>157</v>
      </c>
      <c r="D2544" t="s">
        <v>133</v>
      </c>
      <c r="E2544" t="s">
        <v>127</v>
      </c>
      <c r="F2544" s="2">
        <v>30</v>
      </c>
    </row>
    <row r="2545" spans="1:6">
      <c r="A2545" s="1">
        <v>43731</v>
      </c>
      <c r="B2545" t="s">
        <v>2691</v>
      </c>
      <c r="C2545" t="s">
        <v>136</v>
      </c>
      <c r="D2545" t="s">
        <v>146</v>
      </c>
      <c r="E2545" t="s">
        <v>134</v>
      </c>
      <c r="F2545" s="2">
        <v>50</v>
      </c>
    </row>
    <row r="2546" spans="1:6">
      <c r="A2546" s="1">
        <v>43731</v>
      </c>
      <c r="B2546" t="s">
        <v>2692</v>
      </c>
      <c r="C2546" t="s">
        <v>119</v>
      </c>
      <c r="D2546" t="s">
        <v>133</v>
      </c>
      <c r="E2546" t="s">
        <v>121</v>
      </c>
      <c r="F2546" s="2">
        <v>30</v>
      </c>
    </row>
    <row r="2547" spans="1:6">
      <c r="A2547" s="1">
        <v>43732</v>
      </c>
      <c r="B2547" t="s">
        <v>2693</v>
      </c>
      <c r="C2547" t="s">
        <v>223</v>
      </c>
      <c r="D2547" t="s">
        <v>126</v>
      </c>
      <c r="E2547" t="s">
        <v>131</v>
      </c>
      <c r="F2547" s="2">
        <v>160</v>
      </c>
    </row>
    <row r="2548" spans="1:6">
      <c r="A2548" s="1">
        <v>43732</v>
      </c>
      <c r="B2548" t="s">
        <v>2694</v>
      </c>
      <c r="C2548" t="s">
        <v>136</v>
      </c>
      <c r="D2548" t="s">
        <v>120</v>
      </c>
      <c r="E2548" t="s">
        <v>121</v>
      </c>
      <c r="F2548" s="2">
        <v>90</v>
      </c>
    </row>
    <row r="2549" spans="1:6">
      <c r="A2549" s="1">
        <v>43732</v>
      </c>
      <c r="B2549" t="s">
        <v>2695</v>
      </c>
      <c r="C2549" t="s">
        <v>223</v>
      </c>
      <c r="D2549" t="s">
        <v>159</v>
      </c>
      <c r="E2549" t="s">
        <v>121</v>
      </c>
      <c r="F2549" s="2">
        <v>150</v>
      </c>
    </row>
    <row r="2550" spans="1:6">
      <c r="A2550" s="1">
        <v>43732</v>
      </c>
      <c r="B2550" t="s">
        <v>2696</v>
      </c>
      <c r="C2550" t="s">
        <v>189</v>
      </c>
      <c r="D2550" t="s">
        <v>139</v>
      </c>
      <c r="E2550" t="s">
        <v>121</v>
      </c>
      <c r="F2550" s="2">
        <v>80</v>
      </c>
    </row>
    <row r="2551" spans="1:6">
      <c r="A2551" s="1">
        <v>43732</v>
      </c>
      <c r="B2551" t="s">
        <v>2697</v>
      </c>
      <c r="C2551" t="s">
        <v>164</v>
      </c>
      <c r="D2551" t="s">
        <v>141</v>
      </c>
      <c r="E2551" t="s">
        <v>134</v>
      </c>
      <c r="F2551" s="2">
        <v>180</v>
      </c>
    </row>
    <row r="2552" spans="1:6">
      <c r="A2552" s="1">
        <v>43732</v>
      </c>
      <c r="B2552" t="s">
        <v>2698</v>
      </c>
      <c r="C2552" t="s">
        <v>189</v>
      </c>
      <c r="D2552" t="s">
        <v>139</v>
      </c>
      <c r="E2552" t="s">
        <v>153</v>
      </c>
      <c r="F2552" s="2">
        <v>80</v>
      </c>
    </row>
    <row r="2553" spans="1:6">
      <c r="A2553" s="1">
        <v>43732</v>
      </c>
      <c r="B2553" t="s">
        <v>2699</v>
      </c>
      <c r="C2553" t="s">
        <v>152</v>
      </c>
      <c r="D2553" t="s">
        <v>139</v>
      </c>
      <c r="E2553" t="s">
        <v>121</v>
      </c>
      <c r="F2553" s="2">
        <v>80</v>
      </c>
    </row>
    <row r="2554" spans="1:6">
      <c r="A2554" s="1">
        <v>43732</v>
      </c>
      <c r="B2554" t="s">
        <v>2700</v>
      </c>
      <c r="C2554" t="s">
        <v>136</v>
      </c>
      <c r="D2554" t="s">
        <v>120</v>
      </c>
      <c r="E2554" t="s">
        <v>134</v>
      </c>
      <c r="F2554" s="2">
        <v>90</v>
      </c>
    </row>
    <row r="2555" spans="1:6">
      <c r="A2555" s="1">
        <v>43732</v>
      </c>
      <c r="B2555" t="s">
        <v>2701</v>
      </c>
      <c r="C2555" t="s">
        <v>145</v>
      </c>
      <c r="D2555" t="s">
        <v>130</v>
      </c>
      <c r="E2555" t="s">
        <v>121</v>
      </c>
      <c r="F2555" s="2">
        <v>100</v>
      </c>
    </row>
    <row r="2556" spans="1:6">
      <c r="A2556" s="1">
        <v>43732</v>
      </c>
      <c r="B2556" t="s">
        <v>2702</v>
      </c>
      <c r="C2556" t="s">
        <v>119</v>
      </c>
      <c r="D2556" t="s">
        <v>120</v>
      </c>
      <c r="E2556" t="s">
        <v>121</v>
      </c>
      <c r="F2556" s="2">
        <v>90</v>
      </c>
    </row>
    <row r="2557" spans="1:6">
      <c r="A2557" s="1">
        <v>43732</v>
      </c>
      <c r="B2557" t="s">
        <v>2703</v>
      </c>
      <c r="C2557" t="s">
        <v>136</v>
      </c>
      <c r="D2557" t="s">
        <v>126</v>
      </c>
      <c r="E2557" t="s">
        <v>121</v>
      </c>
      <c r="F2557" s="2">
        <v>160</v>
      </c>
    </row>
    <row r="2558" spans="1:6">
      <c r="A2558" s="1">
        <v>43732</v>
      </c>
      <c r="B2558" t="s">
        <v>2704</v>
      </c>
      <c r="C2558" t="s">
        <v>123</v>
      </c>
      <c r="D2558" t="s">
        <v>133</v>
      </c>
      <c r="E2558" t="s">
        <v>134</v>
      </c>
      <c r="F2558" s="2">
        <v>30</v>
      </c>
    </row>
    <row r="2559" spans="1:6">
      <c r="A2559" s="1">
        <v>43732</v>
      </c>
      <c r="B2559" t="s">
        <v>2705</v>
      </c>
      <c r="C2559" t="s">
        <v>129</v>
      </c>
      <c r="D2559" t="s">
        <v>126</v>
      </c>
      <c r="E2559" t="s">
        <v>131</v>
      </c>
      <c r="F2559" s="2">
        <v>160</v>
      </c>
    </row>
    <row r="2560" spans="1:6">
      <c r="A2560" s="1">
        <v>43732</v>
      </c>
      <c r="B2560" t="s">
        <v>2706</v>
      </c>
      <c r="C2560" t="s">
        <v>138</v>
      </c>
      <c r="D2560" t="s">
        <v>130</v>
      </c>
      <c r="E2560" t="s">
        <v>153</v>
      </c>
      <c r="F2560" s="2">
        <v>100</v>
      </c>
    </row>
    <row r="2561" spans="1:6">
      <c r="A2561" s="1">
        <v>43733</v>
      </c>
      <c r="B2561" t="s">
        <v>2707</v>
      </c>
      <c r="C2561" t="s">
        <v>187</v>
      </c>
      <c r="D2561" t="s">
        <v>141</v>
      </c>
      <c r="E2561" t="s">
        <v>134</v>
      </c>
      <c r="F2561" s="2">
        <v>180</v>
      </c>
    </row>
    <row r="2562" spans="1:6">
      <c r="A2562" s="1">
        <v>43733</v>
      </c>
      <c r="B2562" t="s">
        <v>2708</v>
      </c>
      <c r="C2562" t="s">
        <v>143</v>
      </c>
      <c r="D2562" t="s">
        <v>126</v>
      </c>
      <c r="E2562" t="s">
        <v>134</v>
      </c>
      <c r="F2562" s="2">
        <v>160</v>
      </c>
    </row>
    <row r="2563" spans="1:6">
      <c r="A2563" s="1">
        <v>43733</v>
      </c>
      <c r="B2563" t="s">
        <v>2709</v>
      </c>
      <c r="C2563" t="s">
        <v>223</v>
      </c>
      <c r="D2563" t="s">
        <v>139</v>
      </c>
      <c r="E2563" t="s">
        <v>127</v>
      </c>
      <c r="F2563" s="2">
        <v>80</v>
      </c>
    </row>
    <row r="2564" spans="1:6">
      <c r="A2564" s="1">
        <v>43733</v>
      </c>
      <c r="B2564" t="s">
        <v>2710</v>
      </c>
      <c r="C2564" t="s">
        <v>145</v>
      </c>
      <c r="D2564" t="s">
        <v>120</v>
      </c>
      <c r="E2564" t="s">
        <v>131</v>
      </c>
      <c r="F2564" s="2">
        <v>90</v>
      </c>
    </row>
    <row r="2565" spans="1:6">
      <c r="A2565" s="1">
        <v>43733</v>
      </c>
      <c r="B2565" t="s">
        <v>2711</v>
      </c>
      <c r="C2565" t="s">
        <v>145</v>
      </c>
      <c r="D2565" t="s">
        <v>133</v>
      </c>
      <c r="E2565" t="s">
        <v>134</v>
      </c>
      <c r="F2565" s="2">
        <v>30</v>
      </c>
    </row>
    <row r="2566" spans="1:6">
      <c r="A2566" s="1">
        <v>43733</v>
      </c>
      <c r="B2566" t="s">
        <v>2712</v>
      </c>
      <c r="C2566" t="s">
        <v>136</v>
      </c>
      <c r="D2566" t="s">
        <v>133</v>
      </c>
      <c r="E2566" t="s">
        <v>153</v>
      </c>
      <c r="F2566" s="2">
        <v>30</v>
      </c>
    </row>
    <row r="2567" spans="1:6">
      <c r="A2567" s="1">
        <v>43733</v>
      </c>
      <c r="B2567" t="s">
        <v>2713</v>
      </c>
      <c r="C2567" t="s">
        <v>157</v>
      </c>
      <c r="D2567" t="s">
        <v>146</v>
      </c>
      <c r="E2567" t="s">
        <v>153</v>
      </c>
      <c r="F2567" s="2">
        <v>50</v>
      </c>
    </row>
    <row r="2568" spans="1:6">
      <c r="A2568" s="1">
        <v>43733</v>
      </c>
      <c r="B2568" t="s">
        <v>2714</v>
      </c>
      <c r="C2568" t="s">
        <v>138</v>
      </c>
      <c r="D2568" t="s">
        <v>133</v>
      </c>
      <c r="E2568" t="s">
        <v>153</v>
      </c>
      <c r="F2568" s="2">
        <v>30</v>
      </c>
    </row>
    <row r="2569" spans="1:6">
      <c r="A2569" s="1">
        <v>43733</v>
      </c>
      <c r="B2569" t="s">
        <v>2715</v>
      </c>
      <c r="C2569" t="s">
        <v>125</v>
      </c>
      <c r="D2569" t="s">
        <v>141</v>
      </c>
      <c r="E2569" t="s">
        <v>134</v>
      </c>
      <c r="F2569" s="2">
        <v>180</v>
      </c>
    </row>
    <row r="2570" spans="1:6">
      <c r="A2570" s="1">
        <v>43733</v>
      </c>
      <c r="B2570" t="s">
        <v>2716</v>
      </c>
      <c r="C2570" t="s">
        <v>152</v>
      </c>
      <c r="D2570" t="s">
        <v>159</v>
      </c>
      <c r="E2570" t="s">
        <v>153</v>
      </c>
      <c r="F2570" s="2">
        <v>150</v>
      </c>
    </row>
    <row r="2571" spans="1:6">
      <c r="A2571" s="1">
        <v>43733</v>
      </c>
      <c r="B2571" t="s">
        <v>2717</v>
      </c>
      <c r="C2571" t="s">
        <v>129</v>
      </c>
      <c r="D2571" t="s">
        <v>120</v>
      </c>
      <c r="E2571" t="s">
        <v>127</v>
      </c>
      <c r="F2571" s="2">
        <v>90</v>
      </c>
    </row>
    <row r="2572" spans="1:6">
      <c r="A2572" s="1">
        <v>43733</v>
      </c>
      <c r="B2572" t="s">
        <v>2718</v>
      </c>
      <c r="C2572" t="s">
        <v>148</v>
      </c>
      <c r="D2572" t="s">
        <v>159</v>
      </c>
      <c r="E2572" t="s">
        <v>121</v>
      </c>
      <c r="F2572" s="2">
        <v>150</v>
      </c>
    </row>
    <row r="2573" spans="1:6">
      <c r="A2573" s="1">
        <v>43734</v>
      </c>
      <c r="B2573" t="s">
        <v>2719</v>
      </c>
      <c r="C2573" t="s">
        <v>164</v>
      </c>
      <c r="D2573" t="s">
        <v>141</v>
      </c>
      <c r="E2573" t="s">
        <v>153</v>
      </c>
      <c r="F2573" s="2">
        <v>180</v>
      </c>
    </row>
    <row r="2574" spans="1:6">
      <c r="A2574" s="1">
        <v>43734</v>
      </c>
      <c r="B2574" t="s">
        <v>2720</v>
      </c>
      <c r="C2574" t="s">
        <v>189</v>
      </c>
      <c r="D2574" t="s">
        <v>141</v>
      </c>
      <c r="E2574" t="s">
        <v>131</v>
      </c>
      <c r="F2574" s="2">
        <v>180</v>
      </c>
    </row>
    <row r="2575" spans="1:6">
      <c r="A2575" s="1">
        <v>43734</v>
      </c>
      <c r="B2575" t="s">
        <v>2721</v>
      </c>
      <c r="C2575" t="s">
        <v>187</v>
      </c>
      <c r="D2575" t="s">
        <v>126</v>
      </c>
      <c r="E2575" t="s">
        <v>121</v>
      </c>
      <c r="F2575" s="2">
        <v>160</v>
      </c>
    </row>
    <row r="2576" spans="1:6">
      <c r="A2576" s="1">
        <v>43734</v>
      </c>
      <c r="B2576" t="s">
        <v>2722</v>
      </c>
      <c r="C2576" t="s">
        <v>129</v>
      </c>
      <c r="D2576" t="s">
        <v>141</v>
      </c>
      <c r="E2576" t="s">
        <v>127</v>
      </c>
      <c r="F2576" s="2">
        <v>180</v>
      </c>
    </row>
    <row r="2577" spans="1:6">
      <c r="A2577" s="1">
        <v>43734</v>
      </c>
      <c r="B2577" t="s">
        <v>2723</v>
      </c>
      <c r="C2577" t="s">
        <v>119</v>
      </c>
      <c r="D2577" t="s">
        <v>146</v>
      </c>
      <c r="E2577" t="s">
        <v>121</v>
      </c>
      <c r="F2577" s="2">
        <v>50</v>
      </c>
    </row>
    <row r="2578" spans="1:6">
      <c r="A2578" s="1">
        <v>43734</v>
      </c>
      <c r="B2578" t="s">
        <v>2724</v>
      </c>
      <c r="C2578" t="s">
        <v>152</v>
      </c>
      <c r="D2578" t="s">
        <v>133</v>
      </c>
      <c r="E2578" t="s">
        <v>127</v>
      </c>
      <c r="F2578" s="2">
        <v>30</v>
      </c>
    </row>
    <row r="2579" spans="1:6">
      <c r="A2579" s="1">
        <v>43734</v>
      </c>
      <c r="B2579" t="s">
        <v>2725</v>
      </c>
      <c r="C2579" t="s">
        <v>125</v>
      </c>
      <c r="D2579" t="s">
        <v>133</v>
      </c>
      <c r="E2579" t="s">
        <v>127</v>
      </c>
      <c r="F2579" s="2">
        <v>30</v>
      </c>
    </row>
    <row r="2580" spans="1:6">
      <c r="A2580" s="1">
        <v>43734</v>
      </c>
      <c r="B2580" t="s">
        <v>2726</v>
      </c>
      <c r="C2580" t="s">
        <v>157</v>
      </c>
      <c r="D2580" t="s">
        <v>126</v>
      </c>
      <c r="E2580" t="s">
        <v>121</v>
      </c>
      <c r="F2580" s="2">
        <v>160</v>
      </c>
    </row>
    <row r="2581" spans="1:6">
      <c r="A2581" s="1">
        <v>43734</v>
      </c>
      <c r="B2581" t="s">
        <v>2727</v>
      </c>
      <c r="C2581" t="s">
        <v>136</v>
      </c>
      <c r="D2581" t="s">
        <v>146</v>
      </c>
      <c r="E2581" t="s">
        <v>134</v>
      </c>
      <c r="F2581" s="2">
        <v>50</v>
      </c>
    </row>
    <row r="2582" spans="1:6">
      <c r="A2582" s="1">
        <v>43735</v>
      </c>
      <c r="B2582" t="s">
        <v>2728</v>
      </c>
      <c r="C2582" t="s">
        <v>129</v>
      </c>
      <c r="D2582" t="s">
        <v>130</v>
      </c>
      <c r="E2582" t="s">
        <v>134</v>
      </c>
      <c r="F2582" s="2">
        <v>100</v>
      </c>
    </row>
    <row r="2583" spans="1:6">
      <c r="A2583" s="1">
        <v>43735</v>
      </c>
      <c r="B2583" t="s">
        <v>2729</v>
      </c>
      <c r="C2583" t="s">
        <v>136</v>
      </c>
      <c r="D2583" t="s">
        <v>130</v>
      </c>
      <c r="E2583" t="s">
        <v>134</v>
      </c>
      <c r="F2583" s="2">
        <v>100</v>
      </c>
    </row>
    <row r="2584" spans="1:6">
      <c r="A2584" s="1">
        <v>43735</v>
      </c>
      <c r="B2584" t="s">
        <v>2730</v>
      </c>
      <c r="C2584" t="s">
        <v>223</v>
      </c>
      <c r="D2584" t="s">
        <v>130</v>
      </c>
      <c r="E2584" t="s">
        <v>153</v>
      </c>
      <c r="F2584" s="2">
        <v>100</v>
      </c>
    </row>
    <row r="2585" spans="1:6">
      <c r="A2585" s="1">
        <v>43735</v>
      </c>
      <c r="B2585" t="s">
        <v>2731</v>
      </c>
      <c r="C2585" t="s">
        <v>119</v>
      </c>
      <c r="D2585" t="s">
        <v>130</v>
      </c>
      <c r="E2585" t="s">
        <v>153</v>
      </c>
      <c r="F2585" s="2">
        <v>100</v>
      </c>
    </row>
    <row r="2586" spans="1:6">
      <c r="A2586" s="1">
        <v>43735</v>
      </c>
      <c r="B2586" t="s">
        <v>2732</v>
      </c>
      <c r="C2586" t="s">
        <v>145</v>
      </c>
      <c r="D2586" t="s">
        <v>159</v>
      </c>
      <c r="E2586" t="s">
        <v>127</v>
      </c>
      <c r="F2586" s="2">
        <v>150</v>
      </c>
    </row>
    <row r="2587" spans="1:6">
      <c r="A2587" s="1">
        <v>43735</v>
      </c>
      <c r="B2587" t="s">
        <v>2733</v>
      </c>
      <c r="C2587" t="s">
        <v>187</v>
      </c>
      <c r="D2587" t="s">
        <v>139</v>
      </c>
      <c r="E2587" t="s">
        <v>131</v>
      </c>
      <c r="F2587" s="2">
        <v>80</v>
      </c>
    </row>
    <row r="2588" spans="1:6">
      <c r="A2588" s="1">
        <v>43735</v>
      </c>
      <c r="B2588" t="s">
        <v>2734</v>
      </c>
      <c r="C2588" t="s">
        <v>182</v>
      </c>
      <c r="D2588" t="s">
        <v>126</v>
      </c>
      <c r="E2588" t="s">
        <v>134</v>
      </c>
      <c r="F2588" s="2">
        <v>160</v>
      </c>
    </row>
    <row r="2589" spans="1:6">
      <c r="A2589" s="1">
        <v>43735</v>
      </c>
      <c r="B2589" t="s">
        <v>2735</v>
      </c>
      <c r="C2589" t="s">
        <v>148</v>
      </c>
      <c r="D2589" t="s">
        <v>133</v>
      </c>
      <c r="E2589" t="s">
        <v>134</v>
      </c>
      <c r="F2589" s="2">
        <v>30</v>
      </c>
    </row>
    <row r="2590" spans="1:6">
      <c r="A2590" s="1">
        <v>43735</v>
      </c>
      <c r="B2590" t="s">
        <v>2736</v>
      </c>
      <c r="C2590" t="s">
        <v>148</v>
      </c>
      <c r="D2590" t="s">
        <v>159</v>
      </c>
      <c r="E2590" t="s">
        <v>127</v>
      </c>
      <c r="F2590" s="2">
        <v>150</v>
      </c>
    </row>
    <row r="2591" spans="1:6">
      <c r="A2591" s="1">
        <v>43735</v>
      </c>
      <c r="B2591" t="s">
        <v>2737</v>
      </c>
      <c r="C2591" t="s">
        <v>182</v>
      </c>
      <c r="D2591" t="s">
        <v>141</v>
      </c>
      <c r="E2591" t="s">
        <v>153</v>
      </c>
      <c r="F2591" s="2">
        <v>180</v>
      </c>
    </row>
    <row r="2592" spans="1:6">
      <c r="A2592" s="1">
        <v>43735</v>
      </c>
      <c r="B2592" t="s">
        <v>2738</v>
      </c>
      <c r="C2592" t="s">
        <v>223</v>
      </c>
      <c r="D2592" t="s">
        <v>146</v>
      </c>
      <c r="E2592" t="s">
        <v>131</v>
      </c>
      <c r="F2592" s="2">
        <v>50</v>
      </c>
    </row>
    <row r="2593" spans="1:6">
      <c r="A2593" s="1">
        <v>43735</v>
      </c>
      <c r="B2593" t="s">
        <v>2739</v>
      </c>
      <c r="C2593" t="s">
        <v>136</v>
      </c>
      <c r="D2593" t="s">
        <v>130</v>
      </c>
      <c r="E2593" t="s">
        <v>127</v>
      </c>
      <c r="F2593" s="2">
        <v>100</v>
      </c>
    </row>
    <row r="2594" spans="1:6">
      <c r="A2594" s="1">
        <v>43735</v>
      </c>
      <c r="B2594" t="s">
        <v>2740</v>
      </c>
      <c r="C2594" t="s">
        <v>152</v>
      </c>
      <c r="D2594" t="s">
        <v>133</v>
      </c>
      <c r="E2594" t="s">
        <v>134</v>
      </c>
      <c r="F2594" s="2">
        <v>30</v>
      </c>
    </row>
    <row r="2595" spans="1:6">
      <c r="A2595" s="1">
        <v>43736</v>
      </c>
      <c r="B2595" t="s">
        <v>2741</v>
      </c>
      <c r="C2595" t="s">
        <v>167</v>
      </c>
      <c r="D2595" t="s">
        <v>120</v>
      </c>
      <c r="E2595" t="s">
        <v>134</v>
      </c>
      <c r="F2595" s="2">
        <v>90</v>
      </c>
    </row>
    <row r="2596" spans="1:6">
      <c r="A2596" s="1">
        <v>43736</v>
      </c>
      <c r="B2596" t="s">
        <v>2742</v>
      </c>
      <c r="C2596" t="s">
        <v>182</v>
      </c>
      <c r="D2596" t="s">
        <v>139</v>
      </c>
      <c r="E2596" t="s">
        <v>134</v>
      </c>
      <c r="F2596" s="2">
        <v>80</v>
      </c>
    </row>
    <row r="2597" spans="1:6">
      <c r="A2597" s="1">
        <v>43736</v>
      </c>
      <c r="B2597" t="s">
        <v>2743</v>
      </c>
      <c r="C2597" t="s">
        <v>119</v>
      </c>
      <c r="D2597" t="s">
        <v>126</v>
      </c>
      <c r="E2597" t="s">
        <v>153</v>
      </c>
      <c r="F2597" s="2">
        <v>160</v>
      </c>
    </row>
    <row r="2598" spans="1:6">
      <c r="A2598" s="1">
        <v>43736</v>
      </c>
      <c r="B2598" t="s">
        <v>2744</v>
      </c>
      <c r="C2598" t="s">
        <v>119</v>
      </c>
      <c r="D2598" t="s">
        <v>146</v>
      </c>
      <c r="E2598" t="s">
        <v>153</v>
      </c>
      <c r="F2598" s="2">
        <v>50</v>
      </c>
    </row>
    <row r="2599" spans="1:6">
      <c r="A2599" s="1">
        <v>43737</v>
      </c>
      <c r="B2599" t="s">
        <v>2745</v>
      </c>
      <c r="C2599" t="s">
        <v>119</v>
      </c>
      <c r="D2599" t="s">
        <v>139</v>
      </c>
      <c r="E2599" t="s">
        <v>131</v>
      </c>
      <c r="F2599" s="2">
        <v>80</v>
      </c>
    </row>
    <row r="2600" spans="1:6">
      <c r="A2600" s="1">
        <v>43737</v>
      </c>
      <c r="B2600" t="s">
        <v>2746</v>
      </c>
      <c r="C2600" t="s">
        <v>143</v>
      </c>
      <c r="D2600" t="s">
        <v>139</v>
      </c>
      <c r="E2600" t="s">
        <v>134</v>
      </c>
      <c r="F2600" s="2">
        <v>80</v>
      </c>
    </row>
    <row r="2601" spans="1:6">
      <c r="A2601" s="1">
        <v>43737</v>
      </c>
      <c r="B2601" t="s">
        <v>2747</v>
      </c>
      <c r="C2601" t="s">
        <v>167</v>
      </c>
      <c r="D2601" t="s">
        <v>126</v>
      </c>
      <c r="E2601" t="s">
        <v>153</v>
      </c>
      <c r="F2601" s="2">
        <v>160</v>
      </c>
    </row>
    <row r="2602" spans="1:6">
      <c r="A2602" s="1">
        <v>43737</v>
      </c>
      <c r="B2602" t="s">
        <v>2748</v>
      </c>
      <c r="C2602" t="s">
        <v>119</v>
      </c>
      <c r="D2602" t="s">
        <v>139</v>
      </c>
      <c r="E2602" t="s">
        <v>121</v>
      </c>
      <c r="F2602" s="2">
        <v>80</v>
      </c>
    </row>
    <row r="2603" spans="1:6">
      <c r="A2603" s="1">
        <v>43737</v>
      </c>
      <c r="B2603" t="s">
        <v>2749</v>
      </c>
      <c r="C2603" t="s">
        <v>136</v>
      </c>
      <c r="D2603" t="s">
        <v>133</v>
      </c>
      <c r="E2603" t="s">
        <v>134</v>
      </c>
      <c r="F2603" s="2">
        <v>30</v>
      </c>
    </row>
    <row r="2604" spans="1:6">
      <c r="A2604" s="1">
        <v>43737</v>
      </c>
      <c r="B2604" t="s">
        <v>2750</v>
      </c>
      <c r="C2604" t="s">
        <v>164</v>
      </c>
      <c r="D2604" t="s">
        <v>141</v>
      </c>
      <c r="E2604" t="s">
        <v>121</v>
      </c>
      <c r="F2604" s="2">
        <v>180</v>
      </c>
    </row>
    <row r="2605" spans="1:6">
      <c r="A2605" s="1">
        <v>43738</v>
      </c>
      <c r="B2605" t="s">
        <v>2751</v>
      </c>
      <c r="C2605" t="s">
        <v>143</v>
      </c>
      <c r="D2605" t="s">
        <v>141</v>
      </c>
      <c r="E2605" t="s">
        <v>134</v>
      </c>
      <c r="F2605" s="2">
        <v>180</v>
      </c>
    </row>
    <row r="2606" spans="1:6">
      <c r="A2606" s="1">
        <v>43738</v>
      </c>
      <c r="B2606" t="s">
        <v>2752</v>
      </c>
      <c r="C2606" t="s">
        <v>182</v>
      </c>
      <c r="D2606" t="s">
        <v>139</v>
      </c>
      <c r="E2606" t="s">
        <v>134</v>
      </c>
      <c r="F2606" s="2">
        <v>80</v>
      </c>
    </row>
    <row r="2607" spans="1:6">
      <c r="A2607" s="1">
        <v>43738</v>
      </c>
      <c r="B2607" t="s">
        <v>2753</v>
      </c>
      <c r="C2607" t="s">
        <v>182</v>
      </c>
      <c r="D2607" t="s">
        <v>133</v>
      </c>
      <c r="E2607" t="s">
        <v>134</v>
      </c>
      <c r="F2607" s="2">
        <v>30</v>
      </c>
    </row>
    <row r="2608" spans="1:6">
      <c r="A2608" s="1">
        <v>43738</v>
      </c>
      <c r="B2608" t="s">
        <v>2754</v>
      </c>
      <c r="C2608" t="s">
        <v>182</v>
      </c>
      <c r="D2608" t="s">
        <v>146</v>
      </c>
      <c r="E2608" t="s">
        <v>127</v>
      </c>
      <c r="F2608" s="2">
        <v>50</v>
      </c>
    </row>
    <row r="2609" spans="1:6">
      <c r="A2609" s="1">
        <v>43738</v>
      </c>
      <c r="B2609" t="s">
        <v>2755</v>
      </c>
      <c r="C2609" t="s">
        <v>119</v>
      </c>
      <c r="D2609" t="s">
        <v>139</v>
      </c>
      <c r="E2609" t="s">
        <v>121</v>
      </c>
      <c r="F2609" s="2">
        <v>80</v>
      </c>
    </row>
    <row r="2610" spans="1:6">
      <c r="A2610" s="1">
        <v>43738</v>
      </c>
      <c r="B2610" t="s">
        <v>2756</v>
      </c>
      <c r="C2610" t="s">
        <v>145</v>
      </c>
      <c r="D2610" t="s">
        <v>139</v>
      </c>
      <c r="E2610" t="s">
        <v>127</v>
      </c>
      <c r="F2610" s="2">
        <v>80</v>
      </c>
    </row>
    <row r="2611" spans="1:6">
      <c r="A2611" s="1">
        <v>43739</v>
      </c>
      <c r="B2611" t="s">
        <v>2757</v>
      </c>
      <c r="C2611" t="s">
        <v>138</v>
      </c>
      <c r="D2611" t="s">
        <v>120</v>
      </c>
      <c r="E2611" t="s">
        <v>153</v>
      </c>
      <c r="F2611" s="2">
        <v>90</v>
      </c>
    </row>
    <row r="2612" spans="1:6">
      <c r="A2612" s="1">
        <v>43739</v>
      </c>
      <c r="B2612" t="s">
        <v>2758</v>
      </c>
      <c r="C2612" t="s">
        <v>167</v>
      </c>
      <c r="D2612" t="s">
        <v>141</v>
      </c>
      <c r="E2612" t="s">
        <v>127</v>
      </c>
      <c r="F2612" s="2">
        <v>180</v>
      </c>
    </row>
    <row r="2613" spans="1:6">
      <c r="A2613" s="1">
        <v>43739</v>
      </c>
      <c r="B2613" t="s">
        <v>2759</v>
      </c>
      <c r="C2613" t="s">
        <v>123</v>
      </c>
      <c r="D2613" t="s">
        <v>146</v>
      </c>
      <c r="E2613" t="s">
        <v>121</v>
      </c>
      <c r="F2613" s="2">
        <v>50</v>
      </c>
    </row>
    <row r="2614" spans="1:6">
      <c r="A2614" s="1">
        <v>43739</v>
      </c>
      <c r="B2614" t="s">
        <v>2760</v>
      </c>
      <c r="C2614" t="s">
        <v>182</v>
      </c>
      <c r="D2614" t="s">
        <v>146</v>
      </c>
      <c r="E2614" t="s">
        <v>153</v>
      </c>
      <c r="F2614" s="2">
        <v>50</v>
      </c>
    </row>
    <row r="2615" spans="1:6">
      <c r="A2615" s="1">
        <v>43739</v>
      </c>
      <c r="B2615" t="s">
        <v>2761</v>
      </c>
      <c r="C2615" t="s">
        <v>182</v>
      </c>
      <c r="D2615" t="s">
        <v>130</v>
      </c>
      <c r="E2615" t="s">
        <v>127</v>
      </c>
      <c r="F2615" s="2">
        <v>100</v>
      </c>
    </row>
    <row r="2616" spans="1:6">
      <c r="A2616" s="1">
        <v>43739</v>
      </c>
      <c r="B2616" t="s">
        <v>2762</v>
      </c>
      <c r="C2616" t="s">
        <v>157</v>
      </c>
      <c r="D2616" t="s">
        <v>130</v>
      </c>
      <c r="E2616" t="s">
        <v>121</v>
      </c>
      <c r="F2616" s="2">
        <v>100</v>
      </c>
    </row>
    <row r="2617" spans="1:6">
      <c r="A2617" s="1">
        <v>43739</v>
      </c>
      <c r="B2617" t="s">
        <v>2763</v>
      </c>
      <c r="C2617" t="s">
        <v>129</v>
      </c>
      <c r="D2617" t="s">
        <v>139</v>
      </c>
      <c r="E2617" t="s">
        <v>121</v>
      </c>
      <c r="F2617" s="2">
        <v>80</v>
      </c>
    </row>
    <row r="2618" spans="1:6">
      <c r="A2618" s="1">
        <v>43740</v>
      </c>
      <c r="B2618" t="s">
        <v>2764</v>
      </c>
      <c r="C2618" t="s">
        <v>182</v>
      </c>
      <c r="D2618" t="s">
        <v>139</v>
      </c>
      <c r="E2618" t="s">
        <v>134</v>
      </c>
      <c r="F2618" s="2">
        <v>80</v>
      </c>
    </row>
    <row r="2619" spans="1:6">
      <c r="A2619" s="1">
        <v>43740</v>
      </c>
      <c r="B2619" t="s">
        <v>2765</v>
      </c>
      <c r="C2619" t="s">
        <v>123</v>
      </c>
      <c r="D2619" t="s">
        <v>130</v>
      </c>
      <c r="E2619" t="s">
        <v>134</v>
      </c>
      <c r="F2619" s="2">
        <v>100</v>
      </c>
    </row>
    <row r="2620" spans="1:6">
      <c r="A2620" s="1">
        <v>43740</v>
      </c>
      <c r="B2620" t="s">
        <v>2766</v>
      </c>
      <c r="C2620" t="s">
        <v>125</v>
      </c>
      <c r="D2620" t="s">
        <v>133</v>
      </c>
      <c r="E2620" t="s">
        <v>121</v>
      </c>
      <c r="F2620" s="2">
        <v>30</v>
      </c>
    </row>
    <row r="2621" spans="1:6">
      <c r="A2621" s="1">
        <v>43740</v>
      </c>
      <c r="B2621" t="s">
        <v>2767</v>
      </c>
      <c r="C2621" t="s">
        <v>123</v>
      </c>
      <c r="D2621" t="s">
        <v>120</v>
      </c>
      <c r="E2621" t="s">
        <v>134</v>
      </c>
      <c r="F2621" s="2">
        <v>90</v>
      </c>
    </row>
    <row r="2622" spans="1:6">
      <c r="A2622" s="1">
        <v>43740</v>
      </c>
      <c r="B2622" t="s">
        <v>2768</v>
      </c>
      <c r="C2622" t="s">
        <v>136</v>
      </c>
      <c r="D2622" t="s">
        <v>130</v>
      </c>
      <c r="E2622" t="s">
        <v>127</v>
      </c>
      <c r="F2622" s="2">
        <v>100</v>
      </c>
    </row>
    <row r="2623" spans="1:6">
      <c r="A2623" s="1">
        <v>43740</v>
      </c>
      <c r="B2623" t="s">
        <v>2769</v>
      </c>
      <c r="C2623" t="s">
        <v>223</v>
      </c>
      <c r="D2623" t="s">
        <v>139</v>
      </c>
      <c r="E2623" t="s">
        <v>153</v>
      </c>
      <c r="F2623" s="2">
        <v>80</v>
      </c>
    </row>
    <row r="2624" spans="1:6">
      <c r="A2624" s="1">
        <v>43740</v>
      </c>
      <c r="B2624" t="s">
        <v>2770</v>
      </c>
      <c r="C2624" t="s">
        <v>157</v>
      </c>
      <c r="D2624" t="s">
        <v>126</v>
      </c>
      <c r="E2624" t="s">
        <v>127</v>
      </c>
      <c r="F2624" s="2">
        <v>160</v>
      </c>
    </row>
    <row r="2625" spans="1:6">
      <c r="A2625" s="1">
        <v>43740</v>
      </c>
      <c r="B2625" t="s">
        <v>2771</v>
      </c>
      <c r="C2625" t="s">
        <v>143</v>
      </c>
      <c r="D2625" t="s">
        <v>133</v>
      </c>
      <c r="E2625" t="s">
        <v>127</v>
      </c>
      <c r="F2625" s="2">
        <v>30</v>
      </c>
    </row>
    <row r="2626" spans="1:6">
      <c r="A2626" s="1">
        <v>43740</v>
      </c>
      <c r="B2626" t="s">
        <v>2772</v>
      </c>
      <c r="C2626" t="s">
        <v>223</v>
      </c>
      <c r="D2626" t="s">
        <v>159</v>
      </c>
      <c r="E2626" t="s">
        <v>134</v>
      </c>
      <c r="F2626" s="2">
        <v>150</v>
      </c>
    </row>
    <row r="2627" spans="1:6">
      <c r="A2627" s="1">
        <v>43740</v>
      </c>
      <c r="B2627" t="s">
        <v>2773</v>
      </c>
      <c r="C2627" t="s">
        <v>145</v>
      </c>
      <c r="D2627" t="s">
        <v>139</v>
      </c>
      <c r="E2627" t="s">
        <v>153</v>
      </c>
      <c r="F2627" s="2">
        <v>80</v>
      </c>
    </row>
    <row r="2628" spans="1:6">
      <c r="A2628" s="1">
        <v>43741</v>
      </c>
      <c r="B2628" t="s">
        <v>2774</v>
      </c>
      <c r="C2628" t="s">
        <v>157</v>
      </c>
      <c r="D2628" t="s">
        <v>146</v>
      </c>
      <c r="E2628" t="s">
        <v>127</v>
      </c>
      <c r="F2628" s="2">
        <v>50</v>
      </c>
    </row>
    <row r="2629" spans="1:6">
      <c r="A2629" s="1">
        <v>43741</v>
      </c>
      <c r="B2629" t="s">
        <v>2775</v>
      </c>
      <c r="C2629" t="s">
        <v>123</v>
      </c>
      <c r="D2629" t="s">
        <v>120</v>
      </c>
      <c r="E2629" t="s">
        <v>131</v>
      </c>
      <c r="F2629" s="2">
        <v>90</v>
      </c>
    </row>
    <row r="2630" spans="1:6">
      <c r="A2630" s="1">
        <v>43741</v>
      </c>
      <c r="B2630" t="s">
        <v>2776</v>
      </c>
      <c r="C2630" t="s">
        <v>167</v>
      </c>
      <c r="D2630" t="s">
        <v>133</v>
      </c>
      <c r="E2630" t="s">
        <v>131</v>
      </c>
      <c r="F2630" s="2">
        <v>30</v>
      </c>
    </row>
    <row r="2631" spans="1:6">
      <c r="A2631" s="1">
        <v>43741</v>
      </c>
      <c r="B2631" t="s">
        <v>2777</v>
      </c>
      <c r="C2631" t="s">
        <v>148</v>
      </c>
      <c r="D2631" t="s">
        <v>146</v>
      </c>
      <c r="E2631" t="s">
        <v>121</v>
      </c>
      <c r="F2631" s="2">
        <v>50</v>
      </c>
    </row>
    <row r="2632" spans="1:6">
      <c r="A2632" s="1">
        <v>43741</v>
      </c>
      <c r="B2632" t="s">
        <v>2778</v>
      </c>
      <c r="C2632" t="s">
        <v>138</v>
      </c>
      <c r="D2632" t="s">
        <v>146</v>
      </c>
      <c r="E2632" t="s">
        <v>134</v>
      </c>
      <c r="F2632" s="2">
        <v>50</v>
      </c>
    </row>
    <row r="2633" spans="1:6">
      <c r="A2633" s="1">
        <v>43741</v>
      </c>
      <c r="B2633" t="s">
        <v>2779</v>
      </c>
      <c r="C2633" t="s">
        <v>182</v>
      </c>
      <c r="D2633" t="s">
        <v>159</v>
      </c>
      <c r="E2633" t="s">
        <v>153</v>
      </c>
      <c r="F2633" s="2">
        <v>150</v>
      </c>
    </row>
    <row r="2634" spans="1:6">
      <c r="A2634" s="1">
        <v>43741</v>
      </c>
      <c r="B2634" t="s">
        <v>2780</v>
      </c>
      <c r="C2634" t="s">
        <v>164</v>
      </c>
      <c r="D2634" t="s">
        <v>126</v>
      </c>
      <c r="E2634" t="s">
        <v>131</v>
      </c>
      <c r="F2634" s="2">
        <v>160</v>
      </c>
    </row>
    <row r="2635" spans="1:6">
      <c r="A2635" s="1">
        <v>43742</v>
      </c>
      <c r="B2635" t="s">
        <v>2781</v>
      </c>
      <c r="C2635" t="s">
        <v>164</v>
      </c>
      <c r="D2635" t="s">
        <v>130</v>
      </c>
      <c r="E2635" t="s">
        <v>153</v>
      </c>
      <c r="F2635" s="2">
        <v>100</v>
      </c>
    </row>
    <row r="2636" spans="1:6">
      <c r="A2636" s="1">
        <v>43742</v>
      </c>
      <c r="B2636" t="s">
        <v>2782</v>
      </c>
      <c r="C2636" t="s">
        <v>138</v>
      </c>
      <c r="D2636" t="s">
        <v>141</v>
      </c>
      <c r="E2636" t="s">
        <v>134</v>
      </c>
      <c r="F2636" s="2">
        <v>180</v>
      </c>
    </row>
    <row r="2637" spans="1:6">
      <c r="A2637" s="1">
        <v>43742</v>
      </c>
      <c r="B2637" t="s">
        <v>2783</v>
      </c>
      <c r="C2637" t="s">
        <v>148</v>
      </c>
      <c r="D2637" t="s">
        <v>130</v>
      </c>
      <c r="E2637" t="s">
        <v>153</v>
      </c>
      <c r="F2637" s="2">
        <v>100</v>
      </c>
    </row>
    <row r="2638" spans="1:6">
      <c r="A2638" s="1">
        <v>43742</v>
      </c>
      <c r="B2638" t="s">
        <v>2784</v>
      </c>
      <c r="C2638" t="s">
        <v>119</v>
      </c>
      <c r="D2638" t="s">
        <v>159</v>
      </c>
      <c r="E2638" t="s">
        <v>127</v>
      </c>
      <c r="F2638" s="2">
        <v>150</v>
      </c>
    </row>
    <row r="2639" spans="1:6">
      <c r="A2639" s="1">
        <v>43742</v>
      </c>
      <c r="B2639" t="s">
        <v>2785</v>
      </c>
      <c r="C2639" t="s">
        <v>129</v>
      </c>
      <c r="D2639" t="s">
        <v>159</v>
      </c>
      <c r="E2639" t="s">
        <v>153</v>
      </c>
      <c r="F2639" s="2">
        <v>150</v>
      </c>
    </row>
    <row r="2640" spans="1:6">
      <c r="A2640" s="1">
        <v>43742</v>
      </c>
      <c r="B2640" t="s">
        <v>2786</v>
      </c>
      <c r="C2640" t="s">
        <v>157</v>
      </c>
      <c r="D2640" t="s">
        <v>126</v>
      </c>
      <c r="E2640" t="s">
        <v>153</v>
      </c>
      <c r="F2640" s="2">
        <v>160</v>
      </c>
    </row>
    <row r="2641" spans="1:6">
      <c r="A2641" s="1">
        <v>43743</v>
      </c>
      <c r="B2641" t="s">
        <v>2787</v>
      </c>
      <c r="C2641" t="s">
        <v>145</v>
      </c>
      <c r="D2641" t="s">
        <v>130</v>
      </c>
      <c r="E2641" t="s">
        <v>131</v>
      </c>
      <c r="F2641" s="2">
        <v>100</v>
      </c>
    </row>
    <row r="2642" spans="1:6">
      <c r="A2642" s="1">
        <v>43743</v>
      </c>
      <c r="B2642" t="s">
        <v>2788</v>
      </c>
      <c r="C2642" t="s">
        <v>167</v>
      </c>
      <c r="D2642" t="s">
        <v>139</v>
      </c>
      <c r="E2642" t="s">
        <v>131</v>
      </c>
      <c r="F2642" s="2">
        <v>80</v>
      </c>
    </row>
    <row r="2643" spans="1:6">
      <c r="A2643" s="1">
        <v>43743</v>
      </c>
      <c r="B2643" t="s">
        <v>2789</v>
      </c>
      <c r="C2643" t="s">
        <v>123</v>
      </c>
      <c r="D2643" t="s">
        <v>126</v>
      </c>
      <c r="E2643" t="s">
        <v>131</v>
      </c>
      <c r="F2643" s="2">
        <v>160</v>
      </c>
    </row>
    <row r="2644" spans="1:6">
      <c r="A2644" s="1">
        <v>43743</v>
      </c>
      <c r="B2644" t="s">
        <v>2790</v>
      </c>
      <c r="C2644" t="s">
        <v>164</v>
      </c>
      <c r="D2644" t="s">
        <v>130</v>
      </c>
      <c r="E2644" t="s">
        <v>131</v>
      </c>
      <c r="F2644" s="2">
        <v>100</v>
      </c>
    </row>
    <row r="2645" spans="1:6">
      <c r="A2645" s="1">
        <v>43744</v>
      </c>
      <c r="B2645" t="s">
        <v>2791</v>
      </c>
      <c r="C2645" t="s">
        <v>136</v>
      </c>
      <c r="D2645" t="s">
        <v>159</v>
      </c>
      <c r="E2645" t="s">
        <v>127</v>
      </c>
      <c r="F2645" s="2">
        <v>150</v>
      </c>
    </row>
    <row r="2646" spans="1:6">
      <c r="A2646" s="1">
        <v>43744</v>
      </c>
      <c r="B2646" t="s">
        <v>2792</v>
      </c>
      <c r="C2646" t="s">
        <v>138</v>
      </c>
      <c r="D2646" t="s">
        <v>133</v>
      </c>
      <c r="E2646" t="s">
        <v>127</v>
      </c>
      <c r="F2646" s="2">
        <v>30</v>
      </c>
    </row>
    <row r="2647" spans="1:6">
      <c r="A2647" s="1">
        <v>43744</v>
      </c>
      <c r="B2647" t="s">
        <v>2793</v>
      </c>
      <c r="C2647" t="s">
        <v>148</v>
      </c>
      <c r="D2647" t="s">
        <v>159</v>
      </c>
      <c r="E2647" t="s">
        <v>153</v>
      </c>
      <c r="F2647" s="2">
        <v>150</v>
      </c>
    </row>
    <row r="2648" spans="1:6">
      <c r="A2648" s="1">
        <v>43744</v>
      </c>
      <c r="B2648" t="s">
        <v>2794</v>
      </c>
      <c r="C2648" t="s">
        <v>223</v>
      </c>
      <c r="D2648" t="s">
        <v>159</v>
      </c>
      <c r="E2648" t="s">
        <v>127</v>
      </c>
      <c r="F2648" s="2">
        <v>150</v>
      </c>
    </row>
    <row r="2649" spans="1:6">
      <c r="A2649" s="1">
        <v>43744</v>
      </c>
      <c r="B2649" t="s">
        <v>2795</v>
      </c>
      <c r="C2649" t="s">
        <v>157</v>
      </c>
      <c r="D2649" t="s">
        <v>146</v>
      </c>
      <c r="E2649" t="s">
        <v>127</v>
      </c>
      <c r="F2649" s="2">
        <v>50</v>
      </c>
    </row>
    <row r="2650" spans="1:6">
      <c r="A2650" s="1">
        <v>43744</v>
      </c>
      <c r="B2650" t="s">
        <v>2796</v>
      </c>
      <c r="C2650" t="s">
        <v>136</v>
      </c>
      <c r="D2650" t="s">
        <v>126</v>
      </c>
      <c r="E2650" t="s">
        <v>134</v>
      </c>
      <c r="F2650" s="2">
        <v>160</v>
      </c>
    </row>
    <row r="2651" spans="1:6">
      <c r="A2651" s="1">
        <v>43745</v>
      </c>
      <c r="B2651" t="s">
        <v>2797</v>
      </c>
      <c r="C2651" t="s">
        <v>125</v>
      </c>
      <c r="D2651" t="s">
        <v>139</v>
      </c>
      <c r="E2651" t="s">
        <v>121</v>
      </c>
      <c r="F2651" s="2">
        <v>80</v>
      </c>
    </row>
    <row r="2652" spans="1:6">
      <c r="A2652" s="1">
        <v>43745</v>
      </c>
      <c r="B2652" t="s">
        <v>2798</v>
      </c>
      <c r="C2652" t="s">
        <v>189</v>
      </c>
      <c r="D2652" t="s">
        <v>139</v>
      </c>
      <c r="E2652" t="s">
        <v>121</v>
      </c>
      <c r="F2652" s="2">
        <v>80</v>
      </c>
    </row>
    <row r="2653" spans="1:6">
      <c r="A2653" s="1">
        <v>43745</v>
      </c>
      <c r="B2653" t="s">
        <v>2799</v>
      </c>
      <c r="C2653" t="s">
        <v>167</v>
      </c>
      <c r="D2653" t="s">
        <v>159</v>
      </c>
      <c r="E2653" t="s">
        <v>134</v>
      </c>
      <c r="F2653" s="2">
        <v>150</v>
      </c>
    </row>
    <row r="2654" spans="1:6">
      <c r="A2654" s="1">
        <v>43745</v>
      </c>
      <c r="B2654" t="s">
        <v>2800</v>
      </c>
      <c r="C2654" t="s">
        <v>143</v>
      </c>
      <c r="D2654" t="s">
        <v>159</v>
      </c>
      <c r="E2654" t="s">
        <v>134</v>
      </c>
      <c r="F2654" s="2">
        <v>150</v>
      </c>
    </row>
    <row r="2655" spans="1:6">
      <c r="A2655" s="1">
        <v>43745</v>
      </c>
      <c r="B2655" t="s">
        <v>2801</v>
      </c>
      <c r="C2655" t="s">
        <v>125</v>
      </c>
      <c r="D2655" t="s">
        <v>133</v>
      </c>
      <c r="E2655" t="s">
        <v>131</v>
      </c>
      <c r="F2655" s="2">
        <v>30</v>
      </c>
    </row>
    <row r="2656" spans="1:6">
      <c r="A2656" s="1">
        <v>43745</v>
      </c>
      <c r="B2656" t="s">
        <v>2802</v>
      </c>
      <c r="C2656" t="s">
        <v>189</v>
      </c>
      <c r="D2656" t="s">
        <v>159</v>
      </c>
      <c r="E2656" t="s">
        <v>131</v>
      </c>
      <c r="F2656" s="2">
        <v>150</v>
      </c>
    </row>
    <row r="2657" spans="1:6">
      <c r="A2657" s="1">
        <v>43745</v>
      </c>
      <c r="B2657" t="s">
        <v>2803</v>
      </c>
      <c r="C2657" t="s">
        <v>187</v>
      </c>
      <c r="D2657" t="s">
        <v>120</v>
      </c>
      <c r="E2657" t="s">
        <v>127</v>
      </c>
      <c r="F2657" s="2">
        <v>90</v>
      </c>
    </row>
    <row r="2658" spans="1:6">
      <c r="A2658" s="1">
        <v>43745</v>
      </c>
      <c r="B2658" t="s">
        <v>2804</v>
      </c>
      <c r="C2658" t="s">
        <v>145</v>
      </c>
      <c r="D2658" t="s">
        <v>120</v>
      </c>
      <c r="E2658" t="s">
        <v>153</v>
      </c>
      <c r="F2658" s="2">
        <v>90</v>
      </c>
    </row>
    <row r="2659" spans="1:6">
      <c r="A2659" s="1">
        <v>43745</v>
      </c>
      <c r="B2659" t="s">
        <v>2805</v>
      </c>
      <c r="C2659" t="s">
        <v>145</v>
      </c>
      <c r="D2659" t="s">
        <v>120</v>
      </c>
      <c r="E2659" t="s">
        <v>153</v>
      </c>
      <c r="F2659" s="2">
        <v>90</v>
      </c>
    </row>
    <row r="2660" spans="1:6">
      <c r="A2660" s="1">
        <v>43746</v>
      </c>
      <c r="B2660" t="s">
        <v>2806</v>
      </c>
      <c r="C2660" t="s">
        <v>129</v>
      </c>
      <c r="D2660" t="s">
        <v>141</v>
      </c>
      <c r="E2660" t="s">
        <v>131</v>
      </c>
      <c r="F2660" s="2">
        <v>180</v>
      </c>
    </row>
    <row r="2661" spans="1:6">
      <c r="A2661" s="1">
        <v>43746</v>
      </c>
      <c r="B2661" t="s">
        <v>2807</v>
      </c>
      <c r="C2661" t="s">
        <v>129</v>
      </c>
      <c r="D2661" t="s">
        <v>139</v>
      </c>
      <c r="E2661" t="s">
        <v>127</v>
      </c>
      <c r="F2661" s="2">
        <v>80</v>
      </c>
    </row>
    <row r="2662" spans="1:6">
      <c r="A2662" s="1">
        <v>43746</v>
      </c>
      <c r="B2662" t="s">
        <v>2808</v>
      </c>
      <c r="C2662" t="s">
        <v>143</v>
      </c>
      <c r="D2662" t="s">
        <v>130</v>
      </c>
      <c r="E2662" t="s">
        <v>127</v>
      </c>
      <c r="F2662" s="2">
        <v>100</v>
      </c>
    </row>
    <row r="2663" spans="1:6">
      <c r="A2663" s="1">
        <v>43746</v>
      </c>
      <c r="B2663" t="s">
        <v>2809</v>
      </c>
      <c r="C2663" t="s">
        <v>223</v>
      </c>
      <c r="D2663" t="s">
        <v>126</v>
      </c>
      <c r="E2663" t="s">
        <v>134</v>
      </c>
      <c r="F2663" s="2">
        <v>160</v>
      </c>
    </row>
    <row r="2664" spans="1:6">
      <c r="A2664" s="1">
        <v>43746</v>
      </c>
      <c r="B2664" t="s">
        <v>2810</v>
      </c>
      <c r="C2664" t="s">
        <v>123</v>
      </c>
      <c r="D2664" t="s">
        <v>146</v>
      </c>
      <c r="E2664" t="s">
        <v>153</v>
      </c>
      <c r="F2664" s="2">
        <v>50</v>
      </c>
    </row>
    <row r="2665" spans="1:6">
      <c r="A2665" s="1">
        <v>43746</v>
      </c>
      <c r="B2665" t="s">
        <v>2811</v>
      </c>
      <c r="C2665" t="s">
        <v>167</v>
      </c>
      <c r="D2665" t="s">
        <v>120</v>
      </c>
      <c r="E2665" t="s">
        <v>121</v>
      </c>
      <c r="F2665" s="2">
        <v>90</v>
      </c>
    </row>
    <row r="2666" spans="1:6">
      <c r="A2666" s="1">
        <v>43746</v>
      </c>
      <c r="B2666" t="s">
        <v>2812</v>
      </c>
      <c r="C2666" t="s">
        <v>187</v>
      </c>
      <c r="D2666" t="s">
        <v>130</v>
      </c>
      <c r="E2666" t="s">
        <v>134</v>
      </c>
      <c r="F2666" s="2">
        <v>100</v>
      </c>
    </row>
    <row r="2667" spans="1:6">
      <c r="A2667" s="1">
        <v>43747</v>
      </c>
      <c r="B2667" t="s">
        <v>2813</v>
      </c>
      <c r="C2667" t="s">
        <v>189</v>
      </c>
      <c r="D2667" t="s">
        <v>120</v>
      </c>
      <c r="E2667" t="s">
        <v>134</v>
      </c>
      <c r="F2667" s="2">
        <v>90</v>
      </c>
    </row>
    <row r="2668" spans="1:6">
      <c r="A2668" s="1">
        <v>43747</v>
      </c>
      <c r="B2668" t="s">
        <v>2814</v>
      </c>
      <c r="C2668" t="s">
        <v>123</v>
      </c>
      <c r="D2668" t="s">
        <v>133</v>
      </c>
      <c r="E2668" t="s">
        <v>121</v>
      </c>
      <c r="F2668" s="2">
        <v>30</v>
      </c>
    </row>
    <row r="2669" spans="1:6">
      <c r="A2669" s="1">
        <v>43747</v>
      </c>
      <c r="B2669" t="s">
        <v>2815</v>
      </c>
      <c r="C2669" t="s">
        <v>152</v>
      </c>
      <c r="D2669" t="s">
        <v>133</v>
      </c>
      <c r="E2669" t="s">
        <v>127</v>
      </c>
      <c r="F2669" s="2">
        <v>30</v>
      </c>
    </row>
    <row r="2670" spans="1:6">
      <c r="A2670" s="1">
        <v>43747</v>
      </c>
      <c r="B2670" t="s">
        <v>2816</v>
      </c>
      <c r="C2670" t="s">
        <v>129</v>
      </c>
      <c r="D2670" t="s">
        <v>141</v>
      </c>
      <c r="E2670" t="s">
        <v>127</v>
      </c>
      <c r="F2670" s="2">
        <v>180</v>
      </c>
    </row>
    <row r="2671" spans="1:6">
      <c r="A2671" s="1">
        <v>43747</v>
      </c>
      <c r="B2671" t="s">
        <v>2817</v>
      </c>
      <c r="C2671" t="s">
        <v>182</v>
      </c>
      <c r="D2671" t="s">
        <v>139</v>
      </c>
      <c r="E2671" t="s">
        <v>134</v>
      </c>
      <c r="F2671" s="2">
        <v>80</v>
      </c>
    </row>
    <row r="2672" spans="1:6">
      <c r="A2672" s="1">
        <v>43747</v>
      </c>
      <c r="B2672" t="s">
        <v>2818</v>
      </c>
      <c r="C2672" t="s">
        <v>129</v>
      </c>
      <c r="D2672" t="s">
        <v>146</v>
      </c>
      <c r="E2672" t="s">
        <v>134</v>
      </c>
      <c r="F2672" s="2">
        <v>50</v>
      </c>
    </row>
    <row r="2673" spans="1:6">
      <c r="A2673" s="1">
        <v>43747</v>
      </c>
      <c r="B2673" t="s">
        <v>2819</v>
      </c>
      <c r="C2673" t="s">
        <v>136</v>
      </c>
      <c r="D2673" t="s">
        <v>139</v>
      </c>
      <c r="E2673" t="s">
        <v>127</v>
      </c>
      <c r="F2673" s="2">
        <v>80</v>
      </c>
    </row>
    <row r="2674" spans="1:6">
      <c r="A2674" s="1">
        <v>43747</v>
      </c>
      <c r="B2674" t="s">
        <v>2820</v>
      </c>
      <c r="C2674" t="s">
        <v>148</v>
      </c>
      <c r="D2674" t="s">
        <v>126</v>
      </c>
      <c r="E2674" t="s">
        <v>121</v>
      </c>
      <c r="F2674" s="2">
        <v>160</v>
      </c>
    </row>
    <row r="2675" spans="1:6">
      <c r="A2675" s="1">
        <v>43747</v>
      </c>
      <c r="B2675" t="s">
        <v>2821</v>
      </c>
      <c r="C2675" t="s">
        <v>145</v>
      </c>
      <c r="D2675" t="s">
        <v>141</v>
      </c>
      <c r="E2675" t="s">
        <v>153</v>
      </c>
      <c r="F2675" s="2">
        <v>180</v>
      </c>
    </row>
    <row r="2676" spans="1:6">
      <c r="A2676" s="1">
        <v>43747</v>
      </c>
      <c r="B2676" t="s">
        <v>2822</v>
      </c>
      <c r="C2676" t="s">
        <v>148</v>
      </c>
      <c r="D2676" t="s">
        <v>133</v>
      </c>
      <c r="E2676" t="s">
        <v>121</v>
      </c>
      <c r="F2676" s="2">
        <v>30</v>
      </c>
    </row>
    <row r="2677" spans="1:6">
      <c r="A2677" s="1">
        <v>43747</v>
      </c>
      <c r="B2677" t="s">
        <v>2823</v>
      </c>
      <c r="C2677" t="s">
        <v>145</v>
      </c>
      <c r="D2677" t="s">
        <v>133</v>
      </c>
      <c r="E2677" t="s">
        <v>121</v>
      </c>
      <c r="F2677" s="2">
        <v>30</v>
      </c>
    </row>
    <row r="2678" spans="1:6">
      <c r="A2678" s="1">
        <v>43747</v>
      </c>
      <c r="B2678" t="s">
        <v>2824</v>
      </c>
      <c r="C2678" t="s">
        <v>148</v>
      </c>
      <c r="D2678" t="s">
        <v>141</v>
      </c>
      <c r="E2678" t="s">
        <v>153</v>
      </c>
      <c r="F2678" s="2">
        <v>180</v>
      </c>
    </row>
    <row r="2679" spans="1:6">
      <c r="A2679" s="1">
        <v>43748</v>
      </c>
      <c r="B2679" t="s">
        <v>2825</v>
      </c>
      <c r="C2679" t="s">
        <v>136</v>
      </c>
      <c r="D2679" t="s">
        <v>120</v>
      </c>
      <c r="E2679" t="s">
        <v>153</v>
      </c>
      <c r="F2679" s="2">
        <v>90</v>
      </c>
    </row>
    <row r="2680" spans="1:6">
      <c r="A2680" s="1">
        <v>43748</v>
      </c>
      <c r="B2680" t="s">
        <v>2826</v>
      </c>
      <c r="C2680" t="s">
        <v>143</v>
      </c>
      <c r="D2680" t="s">
        <v>139</v>
      </c>
      <c r="E2680" t="s">
        <v>153</v>
      </c>
      <c r="F2680" s="2">
        <v>80</v>
      </c>
    </row>
    <row r="2681" spans="1:6">
      <c r="A2681" s="1">
        <v>43748</v>
      </c>
      <c r="B2681" t="s">
        <v>2827</v>
      </c>
      <c r="C2681" t="s">
        <v>223</v>
      </c>
      <c r="D2681" t="s">
        <v>159</v>
      </c>
      <c r="E2681" t="s">
        <v>121</v>
      </c>
      <c r="F2681" s="2">
        <v>150</v>
      </c>
    </row>
    <row r="2682" spans="1:6">
      <c r="A2682" s="1">
        <v>43748</v>
      </c>
      <c r="B2682" t="s">
        <v>2828</v>
      </c>
      <c r="C2682" t="s">
        <v>125</v>
      </c>
      <c r="D2682" t="s">
        <v>159</v>
      </c>
      <c r="E2682" t="s">
        <v>127</v>
      </c>
      <c r="F2682" s="2">
        <v>150</v>
      </c>
    </row>
    <row r="2683" spans="1:6">
      <c r="A2683" s="1">
        <v>43748</v>
      </c>
      <c r="B2683" t="s">
        <v>2829</v>
      </c>
      <c r="C2683" t="s">
        <v>189</v>
      </c>
      <c r="D2683" t="s">
        <v>139</v>
      </c>
      <c r="E2683" t="s">
        <v>127</v>
      </c>
      <c r="F2683" s="2">
        <v>80</v>
      </c>
    </row>
    <row r="2684" spans="1:6">
      <c r="A2684" s="1">
        <v>43748</v>
      </c>
      <c r="B2684" t="s">
        <v>2830</v>
      </c>
      <c r="C2684" t="s">
        <v>164</v>
      </c>
      <c r="D2684" t="s">
        <v>126</v>
      </c>
      <c r="E2684" t="s">
        <v>153</v>
      </c>
      <c r="F2684" s="2">
        <v>160</v>
      </c>
    </row>
    <row r="2685" spans="1:6">
      <c r="A2685" s="1">
        <v>43748</v>
      </c>
      <c r="B2685" t="s">
        <v>2831</v>
      </c>
      <c r="C2685" t="s">
        <v>129</v>
      </c>
      <c r="D2685" t="s">
        <v>133</v>
      </c>
      <c r="E2685" t="s">
        <v>134</v>
      </c>
      <c r="F2685" s="2">
        <v>30</v>
      </c>
    </row>
    <row r="2686" spans="1:6">
      <c r="A2686" s="1">
        <v>43748</v>
      </c>
      <c r="B2686" t="s">
        <v>2832</v>
      </c>
      <c r="C2686" t="s">
        <v>189</v>
      </c>
      <c r="D2686" t="s">
        <v>133</v>
      </c>
      <c r="E2686" t="s">
        <v>121</v>
      </c>
      <c r="F2686" s="2">
        <v>30</v>
      </c>
    </row>
    <row r="2687" spans="1:6">
      <c r="A2687" s="1">
        <v>43748</v>
      </c>
      <c r="B2687" t="s">
        <v>2833</v>
      </c>
      <c r="C2687" t="s">
        <v>125</v>
      </c>
      <c r="D2687" t="s">
        <v>146</v>
      </c>
      <c r="E2687" t="s">
        <v>131</v>
      </c>
      <c r="F2687" s="2">
        <v>50</v>
      </c>
    </row>
    <row r="2688" spans="1:6">
      <c r="A2688" s="1">
        <v>43748</v>
      </c>
      <c r="B2688" t="s">
        <v>2834</v>
      </c>
      <c r="C2688" t="s">
        <v>223</v>
      </c>
      <c r="D2688" t="s">
        <v>159</v>
      </c>
      <c r="E2688" t="s">
        <v>153</v>
      </c>
      <c r="F2688" s="2">
        <v>150</v>
      </c>
    </row>
    <row r="2689" spans="1:6">
      <c r="A2689" s="1">
        <v>43749</v>
      </c>
      <c r="B2689" t="s">
        <v>2835</v>
      </c>
      <c r="C2689" t="s">
        <v>148</v>
      </c>
      <c r="D2689" t="s">
        <v>139</v>
      </c>
      <c r="E2689" t="s">
        <v>127</v>
      </c>
      <c r="F2689" s="2">
        <v>80</v>
      </c>
    </row>
    <row r="2690" spans="1:6">
      <c r="A2690" s="1">
        <v>43749</v>
      </c>
      <c r="B2690" t="s">
        <v>2836</v>
      </c>
      <c r="C2690" t="s">
        <v>187</v>
      </c>
      <c r="D2690" t="s">
        <v>133</v>
      </c>
      <c r="E2690" t="s">
        <v>127</v>
      </c>
      <c r="F2690" s="2">
        <v>30</v>
      </c>
    </row>
    <row r="2691" spans="1:6">
      <c r="A2691" s="1">
        <v>43749</v>
      </c>
      <c r="B2691" t="s">
        <v>2837</v>
      </c>
      <c r="C2691" t="s">
        <v>167</v>
      </c>
      <c r="D2691" t="s">
        <v>146</v>
      </c>
      <c r="E2691" t="s">
        <v>121</v>
      </c>
      <c r="F2691" s="2">
        <v>50</v>
      </c>
    </row>
    <row r="2692" spans="1:6">
      <c r="A2692" s="1">
        <v>43749</v>
      </c>
      <c r="B2692" t="s">
        <v>2838</v>
      </c>
      <c r="C2692" t="s">
        <v>152</v>
      </c>
      <c r="D2692" t="s">
        <v>159</v>
      </c>
      <c r="E2692" t="s">
        <v>127</v>
      </c>
      <c r="F2692" s="2">
        <v>150</v>
      </c>
    </row>
    <row r="2693" spans="1:6">
      <c r="A2693" s="1">
        <v>43749</v>
      </c>
      <c r="B2693" t="s">
        <v>2839</v>
      </c>
      <c r="C2693" t="s">
        <v>138</v>
      </c>
      <c r="D2693" t="s">
        <v>141</v>
      </c>
      <c r="E2693" t="s">
        <v>131</v>
      </c>
      <c r="F2693" s="2">
        <v>180</v>
      </c>
    </row>
    <row r="2694" spans="1:6">
      <c r="A2694" s="1">
        <v>43749</v>
      </c>
      <c r="B2694" t="s">
        <v>2840</v>
      </c>
      <c r="C2694" t="s">
        <v>167</v>
      </c>
      <c r="D2694" t="s">
        <v>133</v>
      </c>
      <c r="E2694" t="s">
        <v>153</v>
      </c>
      <c r="F2694" s="2">
        <v>30</v>
      </c>
    </row>
    <row r="2695" spans="1:6">
      <c r="A2695" s="1">
        <v>43749</v>
      </c>
      <c r="B2695" t="s">
        <v>2841</v>
      </c>
      <c r="C2695" t="s">
        <v>145</v>
      </c>
      <c r="D2695" t="s">
        <v>146</v>
      </c>
      <c r="E2695" t="s">
        <v>134</v>
      </c>
      <c r="F2695" s="2">
        <v>50</v>
      </c>
    </row>
    <row r="2696" spans="1:6">
      <c r="A2696" s="1">
        <v>43749</v>
      </c>
      <c r="B2696" t="s">
        <v>2842</v>
      </c>
      <c r="C2696" t="s">
        <v>125</v>
      </c>
      <c r="D2696" t="s">
        <v>133</v>
      </c>
      <c r="E2696" t="s">
        <v>153</v>
      </c>
      <c r="F2696" s="2">
        <v>30</v>
      </c>
    </row>
    <row r="2697" spans="1:6">
      <c r="A2697" s="1">
        <v>43749</v>
      </c>
      <c r="B2697" t="s">
        <v>2843</v>
      </c>
      <c r="C2697" t="s">
        <v>182</v>
      </c>
      <c r="D2697" t="s">
        <v>139</v>
      </c>
      <c r="E2697" t="s">
        <v>134</v>
      </c>
      <c r="F2697" s="2">
        <v>80</v>
      </c>
    </row>
    <row r="2698" spans="1:6">
      <c r="A2698" s="1">
        <v>43749</v>
      </c>
      <c r="B2698" t="s">
        <v>2844</v>
      </c>
      <c r="C2698" t="s">
        <v>187</v>
      </c>
      <c r="D2698" t="s">
        <v>133</v>
      </c>
      <c r="E2698" t="s">
        <v>131</v>
      </c>
      <c r="F2698" s="2">
        <v>30</v>
      </c>
    </row>
    <row r="2699" spans="1:6">
      <c r="A2699" s="1">
        <v>43749</v>
      </c>
      <c r="B2699" t="s">
        <v>2845</v>
      </c>
      <c r="C2699" t="s">
        <v>145</v>
      </c>
      <c r="D2699" t="s">
        <v>146</v>
      </c>
      <c r="E2699" t="s">
        <v>121</v>
      </c>
      <c r="F2699" s="2">
        <v>50</v>
      </c>
    </row>
    <row r="2700" spans="1:6">
      <c r="A2700" s="1">
        <v>43749</v>
      </c>
      <c r="B2700" t="s">
        <v>2846</v>
      </c>
      <c r="C2700" t="s">
        <v>187</v>
      </c>
      <c r="D2700" t="s">
        <v>146</v>
      </c>
      <c r="E2700" t="s">
        <v>121</v>
      </c>
      <c r="F2700" s="2">
        <v>50</v>
      </c>
    </row>
    <row r="2701" spans="1:6">
      <c r="A2701" s="1">
        <v>43750</v>
      </c>
      <c r="B2701" t="s">
        <v>2847</v>
      </c>
      <c r="C2701" t="s">
        <v>152</v>
      </c>
      <c r="D2701" t="s">
        <v>126</v>
      </c>
      <c r="E2701" t="s">
        <v>134</v>
      </c>
      <c r="F2701" s="2">
        <v>160</v>
      </c>
    </row>
    <row r="2702" spans="1:6">
      <c r="A2702" s="1">
        <v>43750</v>
      </c>
      <c r="B2702" t="s">
        <v>2848</v>
      </c>
      <c r="C2702" t="s">
        <v>145</v>
      </c>
      <c r="D2702" t="s">
        <v>120</v>
      </c>
      <c r="E2702" t="s">
        <v>153</v>
      </c>
      <c r="F2702" s="2">
        <v>90</v>
      </c>
    </row>
    <row r="2703" spans="1:6">
      <c r="A2703" s="1">
        <v>43750</v>
      </c>
      <c r="B2703" t="s">
        <v>2849</v>
      </c>
      <c r="C2703" t="s">
        <v>123</v>
      </c>
      <c r="D2703" t="s">
        <v>159</v>
      </c>
      <c r="E2703" t="s">
        <v>121</v>
      </c>
      <c r="F2703" s="2">
        <v>150</v>
      </c>
    </row>
    <row r="2704" spans="1:6">
      <c r="A2704" s="1">
        <v>43750</v>
      </c>
      <c r="B2704" t="s">
        <v>2850</v>
      </c>
      <c r="C2704" t="s">
        <v>129</v>
      </c>
      <c r="D2704" t="s">
        <v>133</v>
      </c>
      <c r="E2704" t="s">
        <v>127</v>
      </c>
      <c r="F2704" s="2">
        <v>30</v>
      </c>
    </row>
    <row r="2705" spans="1:6">
      <c r="A2705" s="1">
        <v>43750</v>
      </c>
      <c r="B2705" t="s">
        <v>2851</v>
      </c>
      <c r="C2705" t="s">
        <v>187</v>
      </c>
      <c r="D2705" t="s">
        <v>126</v>
      </c>
      <c r="E2705" t="s">
        <v>131</v>
      </c>
      <c r="F2705" s="2">
        <v>160</v>
      </c>
    </row>
    <row r="2706" spans="1:6">
      <c r="A2706" s="1">
        <v>43750</v>
      </c>
      <c r="B2706" t="s">
        <v>2852</v>
      </c>
      <c r="C2706" t="s">
        <v>223</v>
      </c>
      <c r="D2706" t="s">
        <v>146</v>
      </c>
      <c r="E2706" t="s">
        <v>153</v>
      </c>
      <c r="F2706" s="2">
        <v>50</v>
      </c>
    </row>
    <row r="2707" spans="1:6">
      <c r="A2707" s="1">
        <v>43750</v>
      </c>
      <c r="B2707" t="s">
        <v>2853</v>
      </c>
      <c r="C2707" t="s">
        <v>164</v>
      </c>
      <c r="D2707" t="s">
        <v>141</v>
      </c>
      <c r="E2707" t="s">
        <v>127</v>
      </c>
      <c r="F2707" s="2">
        <v>180</v>
      </c>
    </row>
    <row r="2708" spans="1:6">
      <c r="A2708" s="1">
        <v>43750</v>
      </c>
      <c r="B2708" t="s">
        <v>2854</v>
      </c>
      <c r="C2708" t="s">
        <v>148</v>
      </c>
      <c r="D2708" t="s">
        <v>133</v>
      </c>
      <c r="E2708" t="s">
        <v>134</v>
      </c>
      <c r="F2708" s="2">
        <v>30</v>
      </c>
    </row>
    <row r="2709" spans="1:6">
      <c r="A2709" s="1">
        <v>43750</v>
      </c>
      <c r="B2709" t="s">
        <v>2855</v>
      </c>
      <c r="C2709" t="s">
        <v>148</v>
      </c>
      <c r="D2709" t="s">
        <v>159</v>
      </c>
      <c r="E2709" t="s">
        <v>121</v>
      </c>
      <c r="F2709" s="2">
        <v>150</v>
      </c>
    </row>
    <row r="2710" spans="1:6">
      <c r="A2710" s="1">
        <v>43750</v>
      </c>
      <c r="B2710" t="s">
        <v>2856</v>
      </c>
      <c r="C2710" t="s">
        <v>123</v>
      </c>
      <c r="D2710" t="s">
        <v>139</v>
      </c>
      <c r="E2710" t="s">
        <v>131</v>
      </c>
      <c r="F2710" s="2">
        <v>80</v>
      </c>
    </row>
    <row r="2711" spans="1:6">
      <c r="A2711" s="1">
        <v>43750</v>
      </c>
      <c r="B2711" t="s">
        <v>2857</v>
      </c>
      <c r="C2711" t="s">
        <v>167</v>
      </c>
      <c r="D2711" t="s">
        <v>141</v>
      </c>
      <c r="E2711" t="s">
        <v>131</v>
      </c>
      <c r="F2711" s="2">
        <v>180</v>
      </c>
    </row>
    <row r="2712" spans="1:6">
      <c r="A2712" s="1">
        <v>43750</v>
      </c>
      <c r="B2712" t="s">
        <v>2858</v>
      </c>
      <c r="C2712" t="s">
        <v>157</v>
      </c>
      <c r="D2712" t="s">
        <v>139</v>
      </c>
      <c r="E2712" t="s">
        <v>134</v>
      </c>
      <c r="F2712" s="2">
        <v>80</v>
      </c>
    </row>
    <row r="2713" spans="1:6">
      <c r="A2713" s="1">
        <v>43750</v>
      </c>
      <c r="B2713" t="s">
        <v>2859</v>
      </c>
      <c r="C2713" t="s">
        <v>119</v>
      </c>
      <c r="D2713" t="s">
        <v>126</v>
      </c>
      <c r="E2713" t="s">
        <v>153</v>
      </c>
      <c r="F2713" s="2">
        <v>160</v>
      </c>
    </row>
    <row r="2714" spans="1:6">
      <c r="A2714" s="1">
        <v>43750</v>
      </c>
      <c r="B2714" t="s">
        <v>2860</v>
      </c>
      <c r="C2714" t="s">
        <v>189</v>
      </c>
      <c r="D2714" t="s">
        <v>120</v>
      </c>
      <c r="E2714" t="s">
        <v>127</v>
      </c>
      <c r="F2714" s="2">
        <v>90</v>
      </c>
    </row>
    <row r="2715" spans="1:6">
      <c r="A2715" s="1">
        <v>43750</v>
      </c>
      <c r="B2715" t="s">
        <v>2861</v>
      </c>
      <c r="C2715" t="s">
        <v>148</v>
      </c>
      <c r="D2715" t="s">
        <v>159</v>
      </c>
      <c r="E2715" t="s">
        <v>153</v>
      </c>
      <c r="F2715" s="2">
        <v>150</v>
      </c>
    </row>
    <row r="2716" spans="1:6">
      <c r="A2716" s="1">
        <v>43751</v>
      </c>
      <c r="B2716" t="s">
        <v>2862</v>
      </c>
      <c r="C2716" t="s">
        <v>157</v>
      </c>
      <c r="D2716" t="s">
        <v>133</v>
      </c>
      <c r="E2716" t="s">
        <v>153</v>
      </c>
      <c r="F2716" s="2">
        <v>30</v>
      </c>
    </row>
    <row r="2717" spans="1:6">
      <c r="A2717" s="1">
        <v>43751</v>
      </c>
      <c r="B2717" t="s">
        <v>2863</v>
      </c>
      <c r="C2717" t="s">
        <v>143</v>
      </c>
      <c r="D2717" t="s">
        <v>126</v>
      </c>
      <c r="E2717" t="s">
        <v>127</v>
      </c>
      <c r="F2717" s="2">
        <v>160</v>
      </c>
    </row>
    <row r="2718" spans="1:6">
      <c r="A2718" s="1">
        <v>43751</v>
      </c>
      <c r="B2718" t="s">
        <v>2864</v>
      </c>
      <c r="C2718" t="s">
        <v>189</v>
      </c>
      <c r="D2718" t="s">
        <v>159</v>
      </c>
      <c r="E2718" t="s">
        <v>134</v>
      </c>
      <c r="F2718" s="2">
        <v>150</v>
      </c>
    </row>
    <row r="2719" spans="1:6">
      <c r="A2719" s="1">
        <v>43751</v>
      </c>
      <c r="B2719" t="s">
        <v>2865</v>
      </c>
      <c r="C2719" t="s">
        <v>164</v>
      </c>
      <c r="D2719" t="s">
        <v>159</v>
      </c>
      <c r="E2719" t="s">
        <v>121</v>
      </c>
      <c r="F2719" s="2">
        <v>150</v>
      </c>
    </row>
    <row r="2720" spans="1:6">
      <c r="A2720" s="1">
        <v>43751</v>
      </c>
      <c r="B2720" t="s">
        <v>2866</v>
      </c>
      <c r="C2720" t="s">
        <v>157</v>
      </c>
      <c r="D2720" t="s">
        <v>139</v>
      </c>
      <c r="E2720" t="s">
        <v>153</v>
      </c>
      <c r="F2720" s="2">
        <v>80</v>
      </c>
    </row>
    <row r="2721" spans="1:6">
      <c r="A2721" s="1">
        <v>43751</v>
      </c>
      <c r="B2721" t="s">
        <v>2867</v>
      </c>
      <c r="C2721" t="s">
        <v>164</v>
      </c>
      <c r="D2721" t="s">
        <v>133</v>
      </c>
      <c r="E2721" t="s">
        <v>153</v>
      </c>
      <c r="F2721" s="2">
        <v>30</v>
      </c>
    </row>
    <row r="2722" spans="1:6">
      <c r="A2722" s="1">
        <v>43751</v>
      </c>
      <c r="B2722" t="s">
        <v>2868</v>
      </c>
      <c r="C2722" t="s">
        <v>189</v>
      </c>
      <c r="D2722" t="s">
        <v>159</v>
      </c>
      <c r="E2722" t="s">
        <v>134</v>
      </c>
      <c r="F2722" s="2">
        <v>150</v>
      </c>
    </row>
    <row r="2723" spans="1:6">
      <c r="A2723" s="1">
        <v>43751</v>
      </c>
      <c r="B2723" t="s">
        <v>2869</v>
      </c>
      <c r="C2723" t="s">
        <v>138</v>
      </c>
      <c r="D2723" t="s">
        <v>139</v>
      </c>
      <c r="E2723" t="s">
        <v>127</v>
      </c>
      <c r="F2723" s="2">
        <v>80</v>
      </c>
    </row>
    <row r="2724" spans="1:6">
      <c r="A2724" s="1">
        <v>43751</v>
      </c>
      <c r="B2724" t="s">
        <v>2870</v>
      </c>
      <c r="C2724" t="s">
        <v>129</v>
      </c>
      <c r="D2724" t="s">
        <v>130</v>
      </c>
      <c r="E2724" t="s">
        <v>127</v>
      </c>
      <c r="F2724" s="2">
        <v>100</v>
      </c>
    </row>
    <row r="2725" spans="1:6">
      <c r="A2725" s="1">
        <v>43751</v>
      </c>
      <c r="B2725" t="s">
        <v>2871</v>
      </c>
      <c r="C2725" t="s">
        <v>123</v>
      </c>
      <c r="D2725" t="s">
        <v>133</v>
      </c>
      <c r="E2725" t="s">
        <v>134</v>
      </c>
      <c r="F2725" s="2">
        <v>30</v>
      </c>
    </row>
    <row r="2726" spans="1:6">
      <c r="A2726" s="1">
        <v>43751</v>
      </c>
      <c r="B2726" t="s">
        <v>2872</v>
      </c>
      <c r="C2726" t="s">
        <v>189</v>
      </c>
      <c r="D2726" t="s">
        <v>133</v>
      </c>
      <c r="E2726" t="s">
        <v>121</v>
      </c>
      <c r="F2726" s="2">
        <v>30</v>
      </c>
    </row>
    <row r="2727" spans="1:6">
      <c r="A2727" s="1">
        <v>43752</v>
      </c>
      <c r="B2727" t="s">
        <v>2873</v>
      </c>
      <c r="C2727" t="s">
        <v>138</v>
      </c>
      <c r="D2727" t="s">
        <v>159</v>
      </c>
      <c r="E2727" t="s">
        <v>121</v>
      </c>
      <c r="F2727" s="2">
        <v>150</v>
      </c>
    </row>
    <row r="2728" spans="1:6">
      <c r="A2728" s="1">
        <v>43752</v>
      </c>
      <c r="B2728" t="s">
        <v>2874</v>
      </c>
      <c r="C2728" t="s">
        <v>148</v>
      </c>
      <c r="D2728" t="s">
        <v>139</v>
      </c>
      <c r="E2728" t="s">
        <v>153</v>
      </c>
      <c r="F2728" s="2">
        <v>80</v>
      </c>
    </row>
    <row r="2729" spans="1:6">
      <c r="A2729" s="1">
        <v>43752</v>
      </c>
      <c r="B2729" t="s">
        <v>2875</v>
      </c>
      <c r="C2729" t="s">
        <v>119</v>
      </c>
      <c r="D2729" t="s">
        <v>120</v>
      </c>
      <c r="E2729" t="s">
        <v>127</v>
      </c>
      <c r="F2729" s="2">
        <v>90</v>
      </c>
    </row>
    <row r="2730" spans="1:6">
      <c r="A2730" s="1">
        <v>43752</v>
      </c>
      <c r="B2730" t="s">
        <v>2876</v>
      </c>
      <c r="C2730" t="s">
        <v>129</v>
      </c>
      <c r="D2730" t="s">
        <v>159</v>
      </c>
      <c r="E2730" t="s">
        <v>131</v>
      </c>
      <c r="F2730" s="2">
        <v>150</v>
      </c>
    </row>
    <row r="2731" spans="1:6">
      <c r="A2731" s="1">
        <v>43752</v>
      </c>
      <c r="B2731" t="s">
        <v>2877</v>
      </c>
      <c r="C2731" t="s">
        <v>152</v>
      </c>
      <c r="D2731" t="s">
        <v>133</v>
      </c>
      <c r="E2731" t="s">
        <v>131</v>
      </c>
      <c r="F2731" s="2">
        <v>30</v>
      </c>
    </row>
    <row r="2732" spans="1:6">
      <c r="A2732" s="1">
        <v>43752</v>
      </c>
      <c r="B2732" t="s">
        <v>2878</v>
      </c>
      <c r="C2732" t="s">
        <v>138</v>
      </c>
      <c r="D2732" t="s">
        <v>146</v>
      </c>
      <c r="E2732" t="s">
        <v>127</v>
      </c>
      <c r="F2732" s="2">
        <v>50</v>
      </c>
    </row>
    <row r="2733" spans="1:6">
      <c r="A2733" s="1">
        <v>43752</v>
      </c>
      <c r="B2733" t="s">
        <v>2879</v>
      </c>
      <c r="C2733" t="s">
        <v>125</v>
      </c>
      <c r="D2733" t="s">
        <v>133</v>
      </c>
      <c r="E2733" t="s">
        <v>121</v>
      </c>
      <c r="F2733" s="2">
        <v>30</v>
      </c>
    </row>
    <row r="2734" spans="1:6">
      <c r="A2734" s="1">
        <v>43753</v>
      </c>
      <c r="B2734" t="s">
        <v>2880</v>
      </c>
      <c r="C2734" t="s">
        <v>157</v>
      </c>
      <c r="D2734" t="s">
        <v>126</v>
      </c>
      <c r="E2734" t="s">
        <v>134</v>
      </c>
      <c r="F2734" s="2">
        <v>160</v>
      </c>
    </row>
    <row r="2735" spans="1:6">
      <c r="A2735" s="1">
        <v>43753</v>
      </c>
      <c r="B2735" t="s">
        <v>2881</v>
      </c>
      <c r="C2735" t="s">
        <v>223</v>
      </c>
      <c r="D2735" t="s">
        <v>120</v>
      </c>
      <c r="E2735" t="s">
        <v>121</v>
      </c>
      <c r="F2735" s="2">
        <v>90</v>
      </c>
    </row>
    <row r="2736" spans="1:6">
      <c r="A2736" s="1">
        <v>43753</v>
      </c>
      <c r="B2736" t="s">
        <v>2882</v>
      </c>
      <c r="C2736" t="s">
        <v>119</v>
      </c>
      <c r="D2736" t="s">
        <v>139</v>
      </c>
      <c r="E2736" t="s">
        <v>121</v>
      </c>
      <c r="F2736" s="2">
        <v>80</v>
      </c>
    </row>
    <row r="2737" spans="1:6">
      <c r="A2737" s="1">
        <v>43753</v>
      </c>
      <c r="B2737" t="s">
        <v>2883</v>
      </c>
      <c r="C2737" t="s">
        <v>182</v>
      </c>
      <c r="D2737" t="s">
        <v>146</v>
      </c>
      <c r="E2737" t="s">
        <v>127</v>
      </c>
      <c r="F2737" s="2">
        <v>50</v>
      </c>
    </row>
    <row r="2738" spans="1:6">
      <c r="A2738" s="1">
        <v>43753</v>
      </c>
      <c r="B2738" t="s">
        <v>2884</v>
      </c>
      <c r="C2738" t="s">
        <v>164</v>
      </c>
      <c r="D2738" t="s">
        <v>146</v>
      </c>
      <c r="E2738" t="s">
        <v>127</v>
      </c>
      <c r="F2738" s="2">
        <v>50</v>
      </c>
    </row>
    <row r="2739" spans="1:6">
      <c r="A2739" s="1">
        <v>43753</v>
      </c>
      <c r="B2739" t="s">
        <v>2885</v>
      </c>
      <c r="C2739" t="s">
        <v>129</v>
      </c>
      <c r="D2739" t="s">
        <v>133</v>
      </c>
      <c r="E2739" t="s">
        <v>121</v>
      </c>
      <c r="F2739" s="2">
        <v>30</v>
      </c>
    </row>
    <row r="2740" spans="1:6">
      <c r="A2740" s="1">
        <v>43753</v>
      </c>
      <c r="B2740" t="s">
        <v>2886</v>
      </c>
      <c r="C2740" t="s">
        <v>138</v>
      </c>
      <c r="D2740" t="s">
        <v>139</v>
      </c>
      <c r="E2740" t="s">
        <v>153</v>
      </c>
      <c r="F2740" s="2">
        <v>80</v>
      </c>
    </row>
    <row r="2741" spans="1:6">
      <c r="A2741" s="1">
        <v>43753</v>
      </c>
      <c r="B2741" t="s">
        <v>2887</v>
      </c>
      <c r="C2741" t="s">
        <v>138</v>
      </c>
      <c r="D2741" t="s">
        <v>120</v>
      </c>
      <c r="E2741" t="s">
        <v>121</v>
      </c>
      <c r="F2741" s="2">
        <v>90</v>
      </c>
    </row>
    <row r="2742" spans="1:6">
      <c r="A2742" s="1">
        <v>43753</v>
      </c>
      <c r="B2742" t="s">
        <v>2888</v>
      </c>
      <c r="C2742" t="s">
        <v>145</v>
      </c>
      <c r="D2742" t="s">
        <v>126</v>
      </c>
      <c r="E2742" t="s">
        <v>121</v>
      </c>
      <c r="F2742" s="2">
        <v>160</v>
      </c>
    </row>
    <row r="2743" spans="1:6">
      <c r="A2743" s="1">
        <v>43753</v>
      </c>
      <c r="B2743" t="s">
        <v>2889</v>
      </c>
      <c r="C2743" t="s">
        <v>189</v>
      </c>
      <c r="D2743" t="s">
        <v>159</v>
      </c>
      <c r="E2743" t="s">
        <v>134</v>
      </c>
      <c r="F2743" s="2">
        <v>150</v>
      </c>
    </row>
    <row r="2744" spans="1:6">
      <c r="A2744" s="1">
        <v>43754</v>
      </c>
      <c r="B2744" t="s">
        <v>2890</v>
      </c>
      <c r="C2744" t="s">
        <v>187</v>
      </c>
      <c r="D2744" t="s">
        <v>120</v>
      </c>
      <c r="E2744" t="s">
        <v>121</v>
      </c>
      <c r="F2744" s="2">
        <v>90</v>
      </c>
    </row>
    <row r="2745" spans="1:6">
      <c r="A2745" s="1">
        <v>43754</v>
      </c>
      <c r="B2745" t="s">
        <v>2891</v>
      </c>
      <c r="C2745" t="s">
        <v>136</v>
      </c>
      <c r="D2745" t="s">
        <v>146</v>
      </c>
      <c r="E2745" t="s">
        <v>131</v>
      </c>
      <c r="F2745" s="2">
        <v>50</v>
      </c>
    </row>
    <row r="2746" spans="1:6">
      <c r="A2746" s="1">
        <v>43754</v>
      </c>
      <c r="B2746" t="s">
        <v>2892</v>
      </c>
      <c r="C2746" t="s">
        <v>129</v>
      </c>
      <c r="D2746" t="s">
        <v>146</v>
      </c>
      <c r="E2746" t="s">
        <v>134</v>
      </c>
      <c r="F2746" s="2">
        <v>50</v>
      </c>
    </row>
    <row r="2747" spans="1:6">
      <c r="A2747" s="1">
        <v>43754</v>
      </c>
      <c r="B2747" t="s">
        <v>2893</v>
      </c>
      <c r="C2747" t="s">
        <v>182</v>
      </c>
      <c r="D2747" t="s">
        <v>159</v>
      </c>
      <c r="E2747" t="s">
        <v>127</v>
      </c>
      <c r="F2747" s="2">
        <v>150</v>
      </c>
    </row>
    <row r="2748" spans="1:6">
      <c r="A2748" s="1">
        <v>43754</v>
      </c>
      <c r="B2748" t="s">
        <v>2894</v>
      </c>
      <c r="C2748" t="s">
        <v>125</v>
      </c>
      <c r="D2748" t="s">
        <v>120</v>
      </c>
      <c r="E2748" t="s">
        <v>131</v>
      </c>
      <c r="F2748" s="2">
        <v>90</v>
      </c>
    </row>
    <row r="2749" spans="1:6">
      <c r="A2749" s="1">
        <v>43754</v>
      </c>
      <c r="B2749" t="s">
        <v>2895</v>
      </c>
      <c r="C2749" t="s">
        <v>167</v>
      </c>
      <c r="D2749" t="s">
        <v>126</v>
      </c>
      <c r="E2749" t="s">
        <v>131</v>
      </c>
      <c r="F2749" s="2">
        <v>160</v>
      </c>
    </row>
    <row r="2750" spans="1:6">
      <c r="A2750" s="1">
        <v>43754</v>
      </c>
      <c r="B2750" t="s">
        <v>2896</v>
      </c>
      <c r="C2750" t="s">
        <v>148</v>
      </c>
      <c r="D2750" t="s">
        <v>130</v>
      </c>
      <c r="E2750" t="s">
        <v>121</v>
      </c>
      <c r="F2750" s="2">
        <v>100</v>
      </c>
    </row>
    <row r="2751" spans="1:6">
      <c r="A2751" s="1">
        <v>43754</v>
      </c>
      <c r="B2751" t="s">
        <v>2897</v>
      </c>
      <c r="C2751" t="s">
        <v>223</v>
      </c>
      <c r="D2751" t="s">
        <v>139</v>
      </c>
      <c r="E2751" t="s">
        <v>134</v>
      </c>
      <c r="F2751" s="2">
        <v>80</v>
      </c>
    </row>
    <row r="2752" spans="1:6">
      <c r="A2752" s="1">
        <v>43754</v>
      </c>
      <c r="B2752" t="s">
        <v>2898</v>
      </c>
      <c r="C2752" t="s">
        <v>189</v>
      </c>
      <c r="D2752" t="s">
        <v>133</v>
      </c>
      <c r="E2752" t="s">
        <v>131</v>
      </c>
      <c r="F2752" s="2">
        <v>30</v>
      </c>
    </row>
    <row r="2753" spans="1:6">
      <c r="A2753" s="1">
        <v>43754</v>
      </c>
      <c r="B2753" t="s">
        <v>2899</v>
      </c>
      <c r="C2753" t="s">
        <v>187</v>
      </c>
      <c r="D2753" t="s">
        <v>141</v>
      </c>
      <c r="E2753" t="s">
        <v>121</v>
      </c>
      <c r="F2753" s="2">
        <v>180</v>
      </c>
    </row>
    <row r="2754" spans="1:6">
      <c r="A2754" s="1">
        <v>43755</v>
      </c>
      <c r="B2754" t="s">
        <v>2900</v>
      </c>
      <c r="C2754" t="s">
        <v>136</v>
      </c>
      <c r="D2754" t="s">
        <v>133</v>
      </c>
      <c r="E2754" t="s">
        <v>121</v>
      </c>
      <c r="F2754" s="2">
        <v>30</v>
      </c>
    </row>
    <row r="2755" spans="1:6">
      <c r="A2755" s="1">
        <v>43755</v>
      </c>
      <c r="B2755" t="s">
        <v>2901</v>
      </c>
      <c r="C2755" t="s">
        <v>119</v>
      </c>
      <c r="D2755" t="s">
        <v>141</v>
      </c>
      <c r="E2755" t="s">
        <v>134</v>
      </c>
      <c r="F2755" s="2">
        <v>180</v>
      </c>
    </row>
    <row r="2756" spans="1:6">
      <c r="A2756" s="1">
        <v>43755</v>
      </c>
      <c r="B2756" t="s">
        <v>2902</v>
      </c>
      <c r="C2756" t="s">
        <v>152</v>
      </c>
      <c r="D2756" t="s">
        <v>133</v>
      </c>
      <c r="E2756" t="s">
        <v>134</v>
      </c>
      <c r="F2756" s="2">
        <v>30</v>
      </c>
    </row>
    <row r="2757" spans="1:6">
      <c r="A2757" s="1">
        <v>43755</v>
      </c>
      <c r="B2757" t="s">
        <v>2903</v>
      </c>
      <c r="C2757" t="s">
        <v>143</v>
      </c>
      <c r="D2757" t="s">
        <v>120</v>
      </c>
      <c r="E2757" t="s">
        <v>153</v>
      </c>
      <c r="F2757" s="2">
        <v>90</v>
      </c>
    </row>
    <row r="2758" spans="1:6">
      <c r="A2758" s="1">
        <v>43755</v>
      </c>
      <c r="B2758" t="s">
        <v>2904</v>
      </c>
      <c r="C2758" t="s">
        <v>123</v>
      </c>
      <c r="D2758" t="s">
        <v>133</v>
      </c>
      <c r="E2758" t="s">
        <v>153</v>
      </c>
      <c r="F2758" s="2">
        <v>30</v>
      </c>
    </row>
    <row r="2759" spans="1:6">
      <c r="A2759" s="1">
        <v>43755</v>
      </c>
      <c r="B2759" t="s">
        <v>2905</v>
      </c>
      <c r="C2759" t="s">
        <v>187</v>
      </c>
      <c r="D2759" t="s">
        <v>139</v>
      </c>
      <c r="E2759" t="s">
        <v>127</v>
      </c>
      <c r="F2759" s="2">
        <v>80</v>
      </c>
    </row>
    <row r="2760" spans="1:6">
      <c r="A2760" s="1">
        <v>43755</v>
      </c>
      <c r="B2760" t="s">
        <v>2906</v>
      </c>
      <c r="C2760" t="s">
        <v>138</v>
      </c>
      <c r="D2760" t="s">
        <v>159</v>
      </c>
      <c r="E2760" t="s">
        <v>127</v>
      </c>
      <c r="F2760" s="2">
        <v>150</v>
      </c>
    </row>
    <row r="2761" spans="1:6">
      <c r="A2761" s="1">
        <v>43755</v>
      </c>
      <c r="B2761" t="s">
        <v>2907</v>
      </c>
      <c r="C2761" t="s">
        <v>138</v>
      </c>
      <c r="D2761" t="s">
        <v>146</v>
      </c>
      <c r="E2761" t="s">
        <v>121</v>
      </c>
      <c r="F2761" s="2">
        <v>50</v>
      </c>
    </row>
    <row r="2762" spans="1:6">
      <c r="A2762" s="1">
        <v>43755</v>
      </c>
      <c r="B2762" t="s">
        <v>2908</v>
      </c>
      <c r="C2762" t="s">
        <v>164</v>
      </c>
      <c r="D2762" t="s">
        <v>159</v>
      </c>
      <c r="E2762" t="s">
        <v>153</v>
      </c>
      <c r="F2762" s="2">
        <v>150</v>
      </c>
    </row>
    <row r="2763" spans="1:6">
      <c r="A2763" s="1">
        <v>43755</v>
      </c>
      <c r="B2763" t="s">
        <v>2909</v>
      </c>
      <c r="C2763" t="s">
        <v>164</v>
      </c>
      <c r="D2763" t="s">
        <v>159</v>
      </c>
      <c r="E2763" t="s">
        <v>134</v>
      </c>
      <c r="F2763" s="2">
        <v>150</v>
      </c>
    </row>
    <row r="2764" spans="1:6">
      <c r="A2764" s="1">
        <v>43755</v>
      </c>
      <c r="B2764" t="s">
        <v>2910</v>
      </c>
      <c r="C2764" t="s">
        <v>167</v>
      </c>
      <c r="D2764" t="s">
        <v>133</v>
      </c>
      <c r="E2764" t="s">
        <v>134</v>
      </c>
      <c r="F2764" s="2">
        <v>30</v>
      </c>
    </row>
    <row r="2765" spans="1:6">
      <c r="A2765" s="1">
        <v>43756</v>
      </c>
      <c r="B2765" t="s">
        <v>2911</v>
      </c>
      <c r="C2765" t="s">
        <v>148</v>
      </c>
      <c r="D2765" t="s">
        <v>130</v>
      </c>
      <c r="E2765" t="s">
        <v>131</v>
      </c>
      <c r="F2765" s="2">
        <v>100</v>
      </c>
    </row>
    <row r="2766" spans="1:6">
      <c r="A2766" s="1">
        <v>43756</v>
      </c>
      <c r="B2766" t="s">
        <v>2912</v>
      </c>
      <c r="C2766" t="s">
        <v>148</v>
      </c>
      <c r="D2766" t="s">
        <v>133</v>
      </c>
      <c r="E2766" t="s">
        <v>153</v>
      </c>
      <c r="F2766" s="2">
        <v>30</v>
      </c>
    </row>
    <row r="2767" spans="1:6">
      <c r="A2767" s="1">
        <v>43756</v>
      </c>
      <c r="B2767" t="s">
        <v>2913</v>
      </c>
      <c r="C2767" t="s">
        <v>157</v>
      </c>
      <c r="D2767" t="s">
        <v>126</v>
      </c>
      <c r="E2767" t="s">
        <v>134</v>
      </c>
      <c r="F2767" s="2">
        <v>160</v>
      </c>
    </row>
    <row r="2768" spans="1:6">
      <c r="A2768" s="1">
        <v>43756</v>
      </c>
      <c r="B2768" t="s">
        <v>2914</v>
      </c>
      <c r="C2768" t="s">
        <v>136</v>
      </c>
      <c r="D2768" t="s">
        <v>130</v>
      </c>
      <c r="E2768" t="s">
        <v>134</v>
      </c>
      <c r="F2768" s="2">
        <v>100</v>
      </c>
    </row>
    <row r="2769" spans="1:6">
      <c r="A2769" s="1">
        <v>43756</v>
      </c>
      <c r="B2769" t="s">
        <v>2915</v>
      </c>
      <c r="C2769" t="s">
        <v>148</v>
      </c>
      <c r="D2769" t="s">
        <v>159</v>
      </c>
      <c r="E2769" t="s">
        <v>131</v>
      </c>
      <c r="F2769" s="2">
        <v>150</v>
      </c>
    </row>
    <row r="2770" spans="1:6">
      <c r="A2770" s="1">
        <v>43756</v>
      </c>
      <c r="B2770" t="s">
        <v>2916</v>
      </c>
      <c r="C2770" t="s">
        <v>164</v>
      </c>
      <c r="D2770" t="s">
        <v>120</v>
      </c>
      <c r="E2770" t="s">
        <v>153</v>
      </c>
      <c r="F2770" s="2">
        <v>90</v>
      </c>
    </row>
    <row r="2771" spans="1:6">
      <c r="A2771" s="1">
        <v>43756</v>
      </c>
      <c r="B2771" t="s">
        <v>2917</v>
      </c>
      <c r="C2771" t="s">
        <v>182</v>
      </c>
      <c r="D2771" t="s">
        <v>146</v>
      </c>
      <c r="E2771" t="s">
        <v>134</v>
      </c>
      <c r="F2771" s="2">
        <v>50</v>
      </c>
    </row>
    <row r="2772" spans="1:6">
      <c r="A2772" s="1">
        <v>43756</v>
      </c>
      <c r="B2772" t="s">
        <v>2918</v>
      </c>
      <c r="C2772" t="s">
        <v>152</v>
      </c>
      <c r="D2772" t="s">
        <v>130</v>
      </c>
      <c r="E2772" t="s">
        <v>121</v>
      </c>
      <c r="F2772" s="2">
        <v>100</v>
      </c>
    </row>
    <row r="2773" spans="1:6">
      <c r="A2773" s="1">
        <v>43756</v>
      </c>
      <c r="B2773" t="s">
        <v>2919</v>
      </c>
      <c r="C2773" t="s">
        <v>143</v>
      </c>
      <c r="D2773" t="s">
        <v>120</v>
      </c>
      <c r="E2773" t="s">
        <v>134</v>
      </c>
      <c r="F2773" s="2">
        <v>90</v>
      </c>
    </row>
    <row r="2774" spans="1:6">
      <c r="A2774" s="1">
        <v>43756</v>
      </c>
      <c r="B2774" t="s">
        <v>2920</v>
      </c>
      <c r="C2774" t="s">
        <v>223</v>
      </c>
      <c r="D2774" t="s">
        <v>130</v>
      </c>
      <c r="E2774" t="s">
        <v>134</v>
      </c>
      <c r="F2774" s="2">
        <v>100</v>
      </c>
    </row>
    <row r="2775" spans="1:6">
      <c r="A2775" s="1">
        <v>43756</v>
      </c>
      <c r="B2775" t="s">
        <v>2921</v>
      </c>
      <c r="C2775" t="s">
        <v>125</v>
      </c>
      <c r="D2775" t="s">
        <v>139</v>
      </c>
      <c r="E2775" t="s">
        <v>153</v>
      </c>
      <c r="F2775" s="2">
        <v>80</v>
      </c>
    </row>
    <row r="2776" spans="1:6">
      <c r="A2776" s="1">
        <v>43756</v>
      </c>
      <c r="B2776" t="s">
        <v>2922</v>
      </c>
      <c r="C2776" t="s">
        <v>189</v>
      </c>
      <c r="D2776" t="s">
        <v>120</v>
      </c>
      <c r="E2776" t="s">
        <v>153</v>
      </c>
      <c r="F2776" s="2">
        <v>90</v>
      </c>
    </row>
    <row r="2777" spans="1:6">
      <c r="A2777" s="1">
        <v>43757</v>
      </c>
      <c r="B2777" t="s">
        <v>2923</v>
      </c>
      <c r="C2777" t="s">
        <v>129</v>
      </c>
      <c r="D2777" t="s">
        <v>146</v>
      </c>
      <c r="E2777" t="s">
        <v>121</v>
      </c>
      <c r="F2777" s="2">
        <v>50</v>
      </c>
    </row>
    <row r="2778" spans="1:6">
      <c r="A2778" s="1">
        <v>43757</v>
      </c>
      <c r="B2778" t="s">
        <v>2924</v>
      </c>
      <c r="C2778" t="s">
        <v>138</v>
      </c>
      <c r="D2778" t="s">
        <v>120</v>
      </c>
      <c r="E2778" t="s">
        <v>121</v>
      </c>
      <c r="F2778" s="2">
        <v>90</v>
      </c>
    </row>
    <row r="2779" spans="1:6">
      <c r="A2779" s="1">
        <v>43757</v>
      </c>
      <c r="B2779" t="s">
        <v>2925</v>
      </c>
      <c r="C2779" t="s">
        <v>182</v>
      </c>
      <c r="D2779" t="s">
        <v>120</v>
      </c>
      <c r="E2779" t="s">
        <v>153</v>
      </c>
      <c r="F2779" s="2">
        <v>90</v>
      </c>
    </row>
    <row r="2780" spans="1:6">
      <c r="A2780" s="1">
        <v>43757</v>
      </c>
      <c r="B2780" t="s">
        <v>2926</v>
      </c>
      <c r="C2780" t="s">
        <v>143</v>
      </c>
      <c r="D2780" t="s">
        <v>159</v>
      </c>
      <c r="E2780" t="s">
        <v>134</v>
      </c>
      <c r="F2780" s="2">
        <v>150</v>
      </c>
    </row>
    <row r="2781" spans="1:6">
      <c r="A2781" s="1">
        <v>43757</v>
      </c>
      <c r="B2781" t="s">
        <v>2927</v>
      </c>
      <c r="C2781" t="s">
        <v>123</v>
      </c>
      <c r="D2781" t="s">
        <v>159</v>
      </c>
      <c r="E2781" t="s">
        <v>153</v>
      </c>
      <c r="F2781" s="2">
        <v>150</v>
      </c>
    </row>
    <row r="2782" spans="1:6">
      <c r="A2782" s="1">
        <v>43757</v>
      </c>
      <c r="B2782" t="s">
        <v>2928</v>
      </c>
      <c r="C2782" t="s">
        <v>187</v>
      </c>
      <c r="D2782" t="s">
        <v>141</v>
      </c>
      <c r="E2782" t="s">
        <v>153</v>
      </c>
      <c r="F2782" s="2">
        <v>180</v>
      </c>
    </row>
    <row r="2783" spans="1:6">
      <c r="A2783" s="1">
        <v>43757</v>
      </c>
      <c r="B2783" t="s">
        <v>2929</v>
      </c>
      <c r="C2783" t="s">
        <v>157</v>
      </c>
      <c r="D2783" t="s">
        <v>130</v>
      </c>
      <c r="E2783" t="s">
        <v>134</v>
      </c>
      <c r="F2783" s="2">
        <v>100</v>
      </c>
    </row>
    <row r="2784" spans="1:6">
      <c r="A2784" s="1">
        <v>43758</v>
      </c>
      <c r="B2784" t="s">
        <v>2930</v>
      </c>
      <c r="C2784" t="s">
        <v>157</v>
      </c>
      <c r="D2784" t="s">
        <v>130</v>
      </c>
      <c r="E2784" t="s">
        <v>134</v>
      </c>
      <c r="F2784" s="2">
        <v>100</v>
      </c>
    </row>
    <row r="2785" spans="1:6">
      <c r="A2785" s="1">
        <v>43758</v>
      </c>
      <c r="B2785" t="s">
        <v>2931</v>
      </c>
      <c r="C2785" t="s">
        <v>125</v>
      </c>
      <c r="D2785" t="s">
        <v>120</v>
      </c>
      <c r="E2785" t="s">
        <v>153</v>
      </c>
      <c r="F2785" s="2">
        <v>90</v>
      </c>
    </row>
    <row r="2786" spans="1:6">
      <c r="A2786" s="1">
        <v>43758</v>
      </c>
      <c r="B2786" t="s">
        <v>2932</v>
      </c>
      <c r="C2786" t="s">
        <v>223</v>
      </c>
      <c r="D2786" t="s">
        <v>130</v>
      </c>
      <c r="E2786" t="s">
        <v>127</v>
      </c>
      <c r="F2786" s="2">
        <v>100</v>
      </c>
    </row>
    <row r="2787" spans="1:6">
      <c r="A2787" s="1">
        <v>43758</v>
      </c>
      <c r="B2787" t="s">
        <v>2933</v>
      </c>
      <c r="C2787" t="s">
        <v>164</v>
      </c>
      <c r="D2787" t="s">
        <v>146</v>
      </c>
      <c r="E2787" t="s">
        <v>121</v>
      </c>
      <c r="F2787" s="2">
        <v>50</v>
      </c>
    </row>
    <row r="2788" spans="1:6">
      <c r="A2788" s="1">
        <v>43758</v>
      </c>
      <c r="B2788" t="s">
        <v>2934</v>
      </c>
      <c r="C2788" t="s">
        <v>152</v>
      </c>
      <c r="D2788" t="s">
        <v>139</v>
      </c>
      <c r="E2788" t="s">
        <v>127</v>
      </c>
      <c r="F2788" s="2">
        <v>80</v>
      </c>
    </row>
    <row r="2789" spans="1:6">
      <c r="A2789" s="1">
        <v>43758</v>
      </c>
      <c r="B2789" t="s">
        <v>2935</v>
      </c>
      <c r="C2789" t="s">
        <v>145</v>
      </c>
      <c r="D2789" t="s">
        <v>120</v>
      </c>
      <c r="E2789" t="s">
        <v>131</v>
      </c>
      <c r="F2789" s="2">
        <v>90</v>
      </c>
    </row>
    <row r="2790" spans="1:6">
      <c r="A2790" s="1">
        <v>43758</v>
      </c>
      <c r="B2790" t="s">
        <v>2936</v>
      </c>
      <c r="C2790" t="s">
        <v>164</v>
      </c>
      <c r="D2790" t="s">
        <v>130</v>
      </c>
      <c r="E2790" t="s">
        <v>121</v>
      </c>
      <c r="F2790" s="2">
        <v>100</v>
      </c>
    </row>
    <row r="2791" spans="1:6">
      <c r="A2791" s="1">
        <v>43758</v>
      </c>
      <c r="B2791" t="s">
        <v>2937</v>
      </c>
      <c r="C2791" t="s">
        <v>223</v>
      </c>
      <c r="D2791" t="s">
        <v>126</v>
      </c>
      <c r="E2791" t="s">
        <v>153</v>
      </c>
      <c r="F2791" s="2">
        <v>160</v>
      </c>
    </row>
    <row r="2792" spans="1:6">
      <c r="A2792" s="1">
        <v>43759</v>
      </c>
      <c r="B2792" t="s">
        <v>2938</v>
      </c>
      <c r="C2792" t="s">
        <v>167</v>
      </c>
      <c r="D2792" t="s">
        <v>126</v>
      </c>
      <c r="E2792" t="s">
        <v>121</v>
      </c>
      <c r="F2792" s="2">
        <v>160</v>
      </c>
    </row>
    <row r="2793" spans="1:6">
      <c r="A2793" s="1">
        <v>43759</v>
      </c>
      <c r="B2793" t="s">
        <v>2939</v>
      </c>
      <c r="C2793" t="s">
        <v>125</v>
      </c>
      <c r="D2793" t="s">
        <v>120</v>
      </c>
      <c r="E2793" t="s">
        <v>153</v>
      </c>
      <c r="F2793" s="2">
        <v>90</v>
      </c>
    </row>
    <row r="2794" spans="1:6">
      <c r="A2794" s="1">
        <v>43759</v>
      </c>
      <c r="B2794" t="s">
        <v>2940</v>
      </c>
      <c r="C2794" t="s">
        <v>148</v>
      </c>
      <c r="D2794" t="s">
        <v>133</v>
      </c>
      <c r="E2794" t="s">
        <v>153</v>
      </c>
      <c r="F2794" s="2">
        <v>30</v>
      </c>
    </row>
    <row r="2795" spans="1:6">
      <c r="A2795" s="1">
        <v>43759</v>
      </c>
      <c r="B2795" t="s">
        <v>2941</v>
      </c>
      <c r="C2795" t="s">
        <v>187</v>
      </c>
      <c r="D2795" t="s">
        <v>130</v>
      </c>
      <c r="E2795" t="s">
        <v>153</v>
      </c>
      <c r="F2795" s="2">
        <v>100</v>
      </c>
    </row>
    <row r="2796" spans="1:6">
      <c r="A2796" s="1">
        <v>43759</v>
      </c>
      <c r="B2796" t="s">
        <v>2942</v>
      </c>
      <c r="C2796" t="s">
        <v>152</v>
      </c>
      <c r="D2796" t="s">
        <v>130</v>
      </c>
      <c r="E2796" t="s">
        <v>121</v>
      </c>
      <c r="F2796" s="2">
        <v>100</v>
      </c>
    </row>
    <row r="2797" spans="1:6">
      <c r="A2797" s="1">
        <v>43759</v>
      </c>
      <c r="B2797" t="s">
        <v>2943</v>
      </c>
      <c r="C2797" t="s">
        <v>148</v>
      </c>
      <c r="D2797" t="s">
        <v>126</v>
      </c>
      <c r="E2797" t="s">
        <v>121</v>
      </c>
      <c r="F2797" s="2">
        <v>160</v>
      </c>
    </row>
    <row r="2798" spans="1:6">
      <c r="A2798" s="1">
        <v>43759</v>
      </c>
      <c r="B2798" t="s">
        <v>2944</v>
      </c>
      <c r="C2798" t="s">
        <v>138</v>
      </c>
      <c r="D2798" t="s">
        <v>120</v>
      </c>
      <c r="E2798" t="s">
        <v>127</v>
      </c>
      <c r="F2798" s="2">
        <v>90</v>
      </c>
    </row>
    <row r="2799" spans="1:6">
      <c r="A2799" s="1">
        <v>43759</v>
      </c>
      <c r="B2799" t="s">
        <v>2945</v>
      </c>
      <c r="C2799" t="s">
        <v>157</v>
      </c>
      <c r="D2799" t="s">
        <v>139</v>
      </c>
      <c r="E2799" t="s">
        <v>131</v>
      </c>
      <c r="F2799" s="2">
        <v>80</v>
      </c>
    </row>
    <row r="2800" spans="1:6">
      <c r="A2800" s="1">
        <v>43759</v>
      </c>
      <c r="B2800" t="s">
        <v>2946</v>
      </c>
      <c r="C2800" t="s">
        <v>187</v>
      </c>
      <c r="D2800" t="s">
        <v>146</v>
      </c>
      <c r="E2800" t="s">
        <v>121</v>
      </c>
      <c r="F2800" s="2">
        <v>50</v>
      </c>
    </row>
    <row r="2801" spans="1:6">
      <c r="A2801" s="1">
        <v>43759</v>
      </c>
      <c r="B2801" t="s">
        <v>2947</v>
      </c>
      <c r="C2801" t="s">
        <v>157</v>
      </c>
      <c r="D2801" t="s">
        <v>133</v>
      </c>
      <c r="E2801" t="s">
        <v>153</v>
      </c>
      <c r="F2801" s="2">
        <v>30</v>
      </c>
    </row>
    <row r="2802" spans="1:6">
      <c r="A2802" s="1">
        <v>43759</v>
      </c>
      <c r="B2802" t="s">
        <v>2948</v>
      </c>
      <c r="C2802" t="s">
        <v>164</v>
      </c>
      <c r="D2802" t="s">
        <v>141</v>
      </c>
      <c r="E2802" t="s">
        <v>127</v>
      </c>
      <c r="F2802" s="2">
        <v>180</v>
      </c>
    </row>
    <row r="2803" spans="1:6">
      <c r="A2803" s="1">
        <v>43759</v>
      </c>
      <c r="B2803" t="s">
        <v>2949</v>
      </c>
      <c r="C2803" t="s">
        <v>189</v>
      </c>
      <c r="D2803" t="s">
        <v>130</v>
      </c>
      <c r="E2803" t="s">
        <v>131</v>
      </c>
      <c r="F2803" s="2">
        <v>100</v>
      </c>
    </row>
    <row r="2804" spans="1:6">
      <c r="A2804" s="1">
        <v>43760</v>
      </c>
      <c r="B2804" t="s">
        <v>2950</v>
      </c>
      <c r="C2804" t="s">
        <v>223</v>
      </c>
      <c r="D2804" t="s">
        <v>146</v>
      </c>
      <c r="E2804" t="s">
        <v>153</v>
      </c>
      <c r="F2804" s="2">
        <v>50</v>
      </c>
    </row>
    <row r="2805" spans="1:6">
      <c r="A2805" s="1">
        <v>43760</v>
      </c>
      <c r="B2805" t="s">
        <v>2951</v>
      </c>
      <c r="C2805" t="s">
        <v>143</v>
      </c>
      <c r="D2805" t="s">
        <v>139</v>
      </c>
      <c r="E2805" t="s">
        <v>134</v>
      </c>
      <c r="F2805" s="2">
        <v>80</v>
      </c>
    </row>
    <row r="2806" spans="1:6">
      <c r="A2806" s="1">
        <v>43760</v>
      </c>
      <c r="B2806" t="s">
        <v>2952</v>
      </c>
      <c r="C2806" t="s">
        <v>182</v>
      </c>
      <c r="D2806" t="s">
        <v>120</v>
      </c>
      <c r="E2806" t="s">
        <v>134</v>
      </c>
      <c r="F2806" s="2">
        <v>90</v>
      </c>
    </row>
    <row r="2807" spans="1:6">
      <c r="A2807" s="1">
        <v>43760</v>
      </c>
      <c r="B2807" t="s">
        <v>2953</v>
      </c>
      <c r="C2807" t="s">
        <v>125</v>
      </c>
      <c r="D2807" t="s">
        <v>133</v>
      </c>
      <c r="E2807" t="s">
        <v>153</v>
      </c>
      <c r="F2807" s="2">
        <v>30</v>
      </c>
    </row>
    <row r="2808" spans="1:6">
      <c r="A2808" s="1">
        <v>43760</v>
      </c>
      <c r="B2808" t="s">
        <v>2954</v>
      </c>
      <c r="C2808" t="s">
        <v>164</v>
      </c>
      <c r="D2808" t="s">
        <v>139</v>
      </c>
      <c r="E2808" t="s">
        <v>127</v>
      </c>
      <c r="F2808" s="2">
        <v>80</v>
      </c>
    </row>
    <row r="2809" spans="1:6">
      <c r="A2809" s="1">
        <v>43760</v>
      </c>
      <c r="B2809" t="s">
        <v>2955</v>
      </c>
      <c r="C2809" t="s">
        <v>136</v>
      </c>
      <c r="D2809" t="s">
        <v>133</v>
      </c>
      <c r="E2809" t="s">
        <v>121</v>
      </c>
      <c r="F2809" s="2">
        <v>30</v>
      </c>
    </row>
    <row r="2810" spans="1:6">
      <c r="A2810" s="1">
        <v>43760</v>
      </c>
      <c r="B2810" t="s">
        <v>2956</v>
      </c>
      <c r="C2810" t="s">
        <v>187</v>
      </c>
      <c r="D2810" t="s">
        <v>120</v>
      </c>
      <c r="E2810" t="s">
        <v>134</v>
      </c>
      <c r="F2810" s="2">
        <v>90</v>
      </c>
    </row>
    <row r="2811" spans="1:6">
      <c r="A2811" s="1">
        <v>43760</v>
      </c>
      <c r="B2811" t="s">
        <v>2957</v>
      </c>
      <c r="C2811" t="s">
        <v>152</v>
      </c>
      <c r="D2811" t="s">
        <v>130</v>
      </c>
      <c r="E2811" t="s">
        <v>121</v>
      </c>
      <c r="F2811" s="2">
        <v>100</v>
      </c>
    </row>
    <row r="2812" spans="1:6">
      <c r="A2812" s="1">
        <v>43760</v>
      </c>
      <c r="B2812" t="s">
        <v>2958</v>
      </c>
      <c r="C2812" t="s">
        <v>157</v>
      </c>
      <c r="D2812" t="s">
        <v>133</v>
      </c>
      <c r="E2812" t="s">
        <v>153</v>
      </c>
      <c r="F2812" s="2">
        <v>30</v>
      </c>
    </row>
    <row r="2813" spans="1:6">
      <c r="A2813" s="1">
        <v>43760</v>
      </c>
      <c r="B2813" t="s">
        <v>2959</v>
      </c>
      <c r="C2813" t="s">
        <v>152</v>
      </c>
      <c r="D2813" t="s">
        <v>120</v>
      </c>
      <c r="E2813" t="s">
        <v>134</v>
      </c>
      <c r="F2813" s="2">
        <v>90</v>
      </c>
    </row>
    <row r="2814" spans="1:6">
      <c r="A2814" s="1">
        <v>43760</v>
      </c>
      <c r="B2814" t="s">
        <v>2960</v>
      </c>
      <c r="C2814" t="s">
        <v>152</v>
      </c>
      <c r="D2814" t="s">
        <v>130</v>
      </c>
      <c r="E2814" t="s">
        <v>131</v>
      </c>
      <c r="F2814" s="2">
        <v>100</v>
      </c>
    </row>
    <row r="2815" spans="1:6">
      <c r="A2815" s="1">
        <v>43761</v>
      </c>
      <c r="B2815" t="s">
        <v>2961</v>
      </c>
      <c r="C2815" t="s">
        <v>148</v>
      </c>
      <c r="D2815" t="s">
        <v>146</v>
      </c>
      <c r="E2815" t="s">
        <v>134</v>
      </c>
      <c r="F2815" s="2">
        <v>50</v>
      </c>
    </row>
    <row r="2816" spans="1:6">
      <c r="A2816" s="1">
        <v>43761</v>
      </c>
      <c r="B2816" t="s">
        <v>2962</v>
      </c>
      <c r="C2816" t="s">
        <v>136</v>
      </c>
      <c r="D2816" t="s">
        <v>146</v>
      </c>
      <c r="E2816" t="s">
        <v>153</v>
      </c>
      <c r="F2816" s="2">
        <v>50</v>
      </c>
    </row>
    <row r="2817" spans="1:6">
      <c r="A2817" s="1">
        <v>43761</v>
      </c>
      <c r="B2817" t="s">
        <v>2963</v>
      </c>
      <c r="C2817" t="s">
        <v>152</v>
      </c>
      <c r="D2817" t="s">
        <v>146</v>
      </c>
      <c r="E2817" t="s">
        <v>121</v>
      </c>
      <c r="F2817" s="2">
        <v>50</v>
      </c>
    </row>
    <row r="2818" spans="1:6">
      <c r="A2818" s="1">
        <v>43761</v>
      </c>
      <c r="B2818" t="s">
        <v>2964</v>
      </c>
      <c r="C2818" t="s">
        <v>136</v>
      </c>
      <c r="D2818" t="s">
        <v>141</v>
      </c>
      <c r="E2818" t="s">
        <v>121</v>
      </c>
      <c r="F2818" s="2">
        <v>180</v>
      </c>
    </row>
    <row r="2819" spans="1:6">
      <c r="A2819" s="1">
        <v>43761</v>
      </c>
      <c r="B2819" t="s">
        <v>2965</v>
      </c>
      <c r="C2819" t="s">
        <v>119</v>
      </c>
      <c r="D2819" t="s">
        <v>146</v>
      </c>
      <c r="E2819" t="s">
        <v>131</v>
      </c>
      <c r="F2819" s="2">
        <v>50</v>
      </c>
    </row>
    <row r="2820" spans="1:6">
      <c r="A2820" s="1">
        <v>43761</v>
      </c>
      <c r="B2820" t="s">
        <v>2966</v>
      </c>
      <c r="C2820" t="s">
        <v>152</v>
      </c>
      <c r="D2820" t="s">
        <v>141</v>
      </c>
      <c r="E2820" t="s">
        <v>153</v>
      </c>
      <c r="F2820" s="2">
        <v>180</v>
      </c>
    </row>
    <row r="2821" spans="1:6">
      <c r="A2821" s="1">
        <v>43762</v>
      </c>
      <c r="B2821" t="s">
        <v>2967</v>
      </c>
      <c r="C2821" t="s">
        <v>182</v>
      </c>
      <c r="D2821" t="s">
        <v>159</v>
      </c>
      <c r="E2821" t="s">
        <v>134</v>
      </c>
      <c r="F2821" s="2">
        <v>150</v>
      </c>
    </row>
    <row r="2822" spans="1:6">
      <c r="A2822" s="1">
        <v>43762</v>
      </c>
      <c r="B2822" t="s">
        <v>2968</v>
      </c>
      <c r="C2822" t="s">
        <v>143</v>
      </c>
      <c r="D2822" t="s">
        <v>130</v>
      </c>
      <c r="E2822" t="s">
        <v>131</v>
      </c>
      <c r="F2822" s="2">
        <v>100</v>
      </c>
    </row>
    <row r="2823" spans="1:6">
      <c r="A2823" s="1">
        <v>43762</v>
      </c>
      <c r="B2823" t="s">
        <v>2969</v>
      </c>
      <c r="C2823" t="s">
        <v>123</v>
      </c>
      <c r="D2823" t="s">
        <v>159</v>
      </c>
      <c r="E2823" t="s">
        <v>127</v>
      </c>
      <c r="F2823" s="2">
        <v>150</v>
      </c>
    </row>
    <row r="2824" spans="1:6">
      <c r="A2824" s="1">
        <v>43762</v>
      </c>
      <c r="B2824" t="s">
        <v>2970</v>
      </c>
      <c r="C2824" t="s">
        <v>167</v>
      </c>
      <c r="D2824" t="s">
        <v>139</v>
      </c>
      <c r="E2824" t="s">
        <v>134</v>
      </c>
      <c r="F2824" s="2">
        <v>80</v>
      </c>
    </row>
    <row r="2825" spans="1:6">
      <c r="A2825" s="1">
        <v>43762</v>
      </c>
      <c r="B2825" t="s">
        <v>2971</v>
      </c>
      <c r="C2825" t="s">
        <v>136</v>
      </c>
      <c r="D2825" t="s">
        <v>120</v>
      </c>
      <c r="E2825" t="s">
        <v>127</v>
      </c>
      <c r="F2825" s="2">
        <v>90</v>
      </c>
    </row>
    <row r="2826" spans="1:6">
      <c r="A2826" s="1">
        <v>43762</v>
      </c>
      <c r="B2826" t="s">
        <v>2972</v>
      </c>
      <c r="C2826" t="s">
        <v>119</v>
      </c>
      <c r="D2826" t="s">
        <v>130</v>
      </c>
      <c r="E2826" t="s">
        <v>127</v>
      </c>
      <c r="F2826" s="2">
        <v>100</v>
      </c>
    </row>
    <row r="2827" spans="1:6">
      <c r="A2827" s="1">
        <v>43762</v>
      </c>
      <c r="B2827" t="s">
        <v>2973</v>
      </c>
      <c r="C2827" t="s">
        <v>119</v>
      </c>
      <c r="D2827" t="s">
        <v>133</v>
      </c>
      <c r="E2827" t="s">
        <v>121</v>
      </c>
      <c r="F2827" s="2">
        <v>30</v>
      </c>
    </row>
    <row r="2828" spans="1:6">
      <c r="A2828" s="1">
        <v>43762</v>
      </c>
      <c r="B2828" t="s">
        <v>2974</v>
      </c>
      <c r="C2828" t="s">
        <v>138</v>
      </c>
      <c r="D2828" t="s">
        <v>133</v>
      </c>
      <c r="E2828" t="s">
        <v>127</v>
      </c>
      <c r="F2828" s="2">
        <v>30</v>
      </c>
    </row>
    <row r="2829" spans="1:6">
      <c r="A2829" s="1">
        <v>43762</v>
      </c>
      <c r="B2829" t="s">
        <v>2975</v>
      </c>
      <c r="C2829" t="s">
        <v>189</v>
      </c>
      <c r="D2829" t="s">
        <v>141</v>
      </c>
      <c r="E2829" t="s">
        <v>131</v>
      </c>
      <c r="F2829" s="2">
        <v>180</v>
      </c>
    </row>
    <row r="2830" spans="1:6">
      <c r="A2830" s="1">
        <v>43762</v>
      </c>
      <c r="B2830" t="s">
        <v>2976</v>
      </c>
      <c r="C2830" t="s">
        <v>187</v>
      </c>
      <c r="D2830" t="s">
        <v>146</v>
      </c>
      <c r="E2830" t="s">
        <v>131</v>
      </c>
      <c r="F2830" s="2">
        <v>50</v>
      </c>
    </row>
    <row r="2831" spans="1:6">
      <c r="A2831" s="1">
        <v>43762</v>
      </c>
      <c r="B2831" t="s">
        <v>2977</v>
      </c>
      <c r="C2831" t="s">
        <v>187</v>
      </c>
      <c r="D2831" t="s">
        <v>146</v>
      </c>
      <c r="E2831" t="s">
        <v>127</v>
      </c>
      <c r="F2831" s="2">
        <v>50</v>
      </c>
    </row>
    <row r="2832" spans="1:6">
      <c r="A2832" s="1">
        <v>43762</v>
      </c>
      <c r="B2832" t="s">
        <v>2978</v>
      </c>
      <c r="C2832" t="s">
        <v>157</v>
      </c>
      <c r="D2832" t="s">
        <v>120</v>
      </c>
      <c r="E2832" t="s">
        <v>153</v>
      </c>
      <c r="F2832" s="2">
        <v>90</v>
      </c>
    </row>
    <row r="2833" spans="1:6">
      <c r="A2833" s="1">
        <v>43763</v>
      </c>
      <c r="B2833" t="s">
        <v>2979</v>
      </c>
      <c r="C2833" t="s">
        <v>125</v>
      </c>
      <c r="D2833" t="s">
        <v>141</v>
      </c>
      <c r="E2833" t="s">
        <v>127</v>
      </c>
      <c r="F2833" s="2">
        <v>180</v>
      </c>
    </row>
    <row r="2834" spans="1:6">
      <c r="A2834" s="1">
        <v>43763</v>
      </c>
      <c r="B2834" t="s">
        <v>2980</v>
      </c>
      <c r="C2834" t="s">
        <v>138</v>
      </c>
      <c r="D2834" t="s">
        <v>133</v>
      </c>
      <c r="E2834" t="s">
        <v>134</v>
      </c>
      <c r="F2834" s="2">
        <v>30</v>
      </c>
    </row>
    <row r="2835" spans="1:6">
      <c r="A2835" s="1">
        <v>43763</v>
      </c>
      <c r="B2835" t="s">
        <v>2981</v>
      </c>
      <c r="C2835" t="s">
        <v>143</v>
      </c>
      <c r="D2835" t="s">
        <v>126</v>
      </c>
      <c r="E2835" t="s">
        <v>153</v>
      </c>
      <c r="F2835" s="2">
        <v>160</v>
      </c>
    </row>
    <row r="2836" spans="1:6">
      <c r="A2836" s="1">
        <v>43763</v>
      </c>
      <c r="B2836" t="s">
        <v>2982</v>
      </c>
      <c r="C2836" t="s">
        <v>138</v>
      </c>
      <c r="D2836" t="s">
        <v>130</v>
      </c>
      <c r="E2836" t="s">
        <v>121</v>
      </c>
      <c r="F2836" s="2">
        <v>100</v>
      </c>
    </row>
    <row r="2837" spans="1:6">
      <c r="A2837" s="1">
        <v>43763</v>
      </c>
      <c r="B2837" t="s">
        <v>2983</v>
      </c>
      <c r="C2837" t="s">
        <v>187</v>
      </c>
      <c r="D2837" t="s">
        <v>130</v>
      </c>
      <c r="E2837" t="s">
        <v>127</v>
      </c>
      <c r="F2837" s="2">
        <v>100</v>
      </c>
    </row>
    <row r="2838" spans="1:6">
      <c r="A2838" s="1">
        <v>43763</v>
      </c>
      <c r="B2838" t="s">
        <v>2984</v>
      </c>
      <c r="C2838" t="s">
        <v>182</v>
      </c>
      <c r="D2838" t="s">
        <v>139</v>
      </c>
      <c r="E2838" t="s">
        <v>153</v>
      </c>
      <c r="F2838" s="2">
        <v>80</v>
      </c>
    </row>
    <row r="2839" spans="1:6">
      <c r="A2839" s="1">
        <v>43763</v>
      </c>
      <c r="B2839" t="s">
        <v>2985</v>
      </c>
      <c r="C2839" t="s">
        <v>125</v>
      </c>
      <c r="D2839" t="s">
        <v>146</v>
      </c>
      <c r="E2839" t="s">
        <v>121</v>
      </c>
      <c r="F2839" s="2">
        <v>50</v>
      </c>
    </row>
    <row r="2840" spans="1:6">
      <c r="A2840" s="1">
        <v>43763</v>
      </c>
      <c r="B2840" t="s">
        <v>2986</v>
      </c>
      <c r="C2840" t="s">
        <v>223</v>
      </c>
      <c r="D2840" t="s">
        <v>126</v>
      </c>
      <c r="E2840" t="s">
        <v>153</v>
      </c>
      <c r="F2840" s="2">
        <v>160</v>
      </c>
    </row>
    <row r="2841" spans="1:6">
      <c r="A2841" s="1">
        <v>43764</v>
      </c>
      <c r="B2841" t="s">
        <v>2987</v>
      </c>
      <c r="C2841" t="s">
        <v>189</v>
      </c>
      <c r="D2841" t="s">
        <v>126</v>
      </c>
      <c r="E2841" t="s">
        <v>121</v>
      </c>
      <c r="F2841" s="2">
        <v>160</v>
      </c>
    </row>
    <row r="2842" spans="1:6">
      <c r="A2842" s="1">
        <v>43764</v>
      </c>
      <c r="B2842" t="s">
        <v>2988</v>
      </c>
      <c r="C2842" t="s">
        <v>167</v>
      </c>
      <c r="D2842" t="s">
        <v>133</v>
      </c>
      <c r="E2842" t="s">
        <v>131</v>
      </c>
      <c r="F2842" s="2">
        <v>30</v>
      </c>
    </row>
    <row r="2843" spans="1:6">
      <c r="A2843" s="1">
        <v>43764</v>
      </c>
      <c r="B2843" t="s">
        <v>2989</v>
      </c>
      <c r="C2843" t="s">
        <v>138</v>
      </c>
      <c r="D2843" t="s">
        <v>159</v>
      </c>
      <c r="E2843" t="s">
        <v>153</v>
      </c>
      <c r="F2843" s="2">
        <v>150</v>
      </c>
    </row>
    <row r="2844" spans="1:6">
      <c r="A2844" s="1">
        <v>43764</v>
      </c>
      <c r="B2844" t="s">
        <v>2990</v>
      </c>
      <c r="C2844" t="s">
        <v>152</v>
      </c>
      <c r="D2844" t="s">
        <v>126</v>
      </c>
      <c r="E2844" t="s">
        <v>131</v>
      </c>
      <c r="F2844" s="2">
        <v>160</v>
      </c>
    </row>
    <row r="2845" spans="1:6">
      <c r="A2845" s="1">
        <v>43764</v>
      </c>
      <c r="B2845" t="s">
        <v>2991</v>
      </c>
      <c r="C2845" t="s">
        <v>138</v>
      </c>
      <c r="D2845" t="s">
        <v>146</v>
      </c>
      <c r="E2845" t="s">
        <v>134</v>
      </c>
      <c r="F2845" s="2">
        <v>50</v>
      </c>
    </row>
    <row r="2846" spans="1:6">
      <c r="A2846" s="1">
        <v>43764</v>
      </c>
      <c r="B2846" t="s">
        <v>2992</v>
      </c>
      <c r="C2846" t="s">
        <v>189</v>
      </c>
      <c r="D2846" t="s">
        <v>130</v>
      </c>
      <c r="E2846" t="s">
        <v>153</v>
      </c>
      <c r="F2846" s="2">
        <v>100</v>
      </c>
    </row>
    <row r="2847" spans="1:6">
      <c r="A2847" s="1">
        <v>43764</v>
      </c>
      <c r="B2847" t="s">
        <v>2993</v>
      </c>
      <c r="C2847" t="s">
        <v>157</v>
      </c>
      <c r="D2847" t="s">
        <v>159</v>
      </c>
      <c r="E2847" t="s">
        <v>134</v>
      </c>
      <c r="F2847" s="2">
        <v>150</v>
      </c>
    </row>
    <row r="2848" spans="1:6">
      <c r="A2848" s="1">
        <v>43764</v>
      </c>
      <c r="B2848" t="s">
        <v>2994</v>
      </c>
      <c r="C2848" t="s">
        <v>167</v>
      </c>
      <c r="D2848" t="s">
        <v>130</v>
      </c>
      <c r="E2848" t="s">
        <v>134</v>
      </c>
      <c r="F2848" s="2">
        <v>100</v>
      </c>
    </row>
    <row r="2849" spans="1:6">
      <c r="A2849" s="1">
        <v>43764</v>
      </c>
      <c r="B2849" t="s">
        <v>2995</v>
      </c>
      <c r="C2849" t="s">
        <v>138</v>
      </c>
      <c r="D2849" t="s">
        <v>159</v>
      </c>
      <c r="E2849" t="s">
        <v>121</v>
      </c>
      <c r="F2849" s="2">
        <v>150</v>
      </c>
    </row>
    <row r="2850" spans="1:6">
      <c r="A2850" s="1">
        <v>43764</v>
      </c>
      <c r="B2850" t="s">
        <v>2996</v>
      </c>
      <c r="C2850" t="s">
        <v>157</v>
      </c>
      <c r="D2850" t="s">
        <v>146</v>
      </c>
      <c r="E2850" t="s">
        <v>153</v>
      </c>
      <c r="F2850" s="2">
        <v>50</v>
      </c>
    </row>
    <row r="2851" spans="1:6">
      <c r="A2851" s="1">
        <v>43764</v>
      </c>
      <c r="B2851" t="s">
        <v>2997</v>
      </c>
      <c r="C2851" t="s">
        <v>157</v>
      </c>
      <c r="D2851" t="s">
        <v>120</v>
      </c>
      <c r="E2851" t="s">
        <v>127</v>
      </c>
      <c r="F2851" s="2">
        <v>90</v>
      </c>
    </row>
    <row r="2852" spans="1:6">
      <c r="A2852" s="1">
        <v>43764</v>
      </c>
      <c r="B2852" t="s">
        <v>2998</v>
      </c>
      <c r="C2852" t="s">
        <v>167</v>
      </c>
      <c r="D2852" t="s">
        <v>120</v>
      </c>
      <c r="E2852" t="s">
        <v>121</v>
      </c>
      <c r="F2852" s="2">
        <v>90</v>
      </c>
    </row>
    <row r="2853" spans="1:6">
      <c r="A2853" s="1">
        <v>43765</v>
      </c>
      <c r="B2853" t="s">
        <v>2999</v>
      </c>
      <c r="C2853" t="s">
        <v>189</v>
      </c>
      <c r="D2853" t="s">
        <v>126</v>
      </c>
      <c r="E2853" t="s">
        <v>121</v>
      </c>
      <c r="F2853" s="2">
        <v>160</v>
      </c>
    </row>
    <row r="2854" spans="1:6">
      <c r="A2854" s="1">
        <v>43765</v>
      </c>
      <c r="B2854" t="s">
        <v>3000</v>
      </c>
      <c r="C2854" t="s">
        <v>187</v>
      </c>
      <c r="D2854" t="s">
        <v>141</v>
      </c>
      <c r="E2854" t="s">
        <v>131</v>
      </c>
      <c r="F2854" s="2">
        <v>180</v>
      </c>
    </row>
    <row r="2855" spans="1:6">
      <c r="A2855" s="1">
        <v>43765</v>
      </c>
      <c r="B2855" t="s">
        <v>3001</v>
      </c>
      <c r="C2855" t="s">
        <v>125</v>
      </c>
      <c r="D2855" t="s">
        <v>139</v>
      </c>
      <c r="E2855" t="s">
        <v>134</v>
      </c>
      <c r="F2855" s="2">
        <v>80</v>
      </c>
    </row>
    <row r="2856" spans="1:6">
      <c r="A2856" s="1">
        <v>43765</v>
      </c>
      <c r="B2856" t="s">
        <v>3002</v>
      </c>
      <c r="C2856" t="s">
        <v>187</v>
      </c>
      <c r="D2856" t="s">
        <v>130</v>
      </c>
      <c r="E2856" t="s">
        <v>134</v>
      </c>
      <c r="F2856" s="2">
        <v>100</v>
      </c>
    </row>
    <row r="2857" spans="1:6">
      <c r="A2857" s="1">
        <v>43765</v>
      </c>
      <c r="B2857" t="s">
        <v>3003</v>
      </c>
      <c r="C2857" t="s">
        <v>119</v>
      </c>
      <c r="D2857" t="s">
        <v>120</v>
      </c>
      <c r="E2857" t="s">
        <v>134</v>
      </c>
      <c r="F2857" s="2">
        <v>90</v>
      </c>
    </row>
    <row r="2858" spans="1:6">
      <c r="A2858" s="1">
        <v>43765</v>
      </c>
      <c r="B2858" t="s">
        <v>3004</v>
      </c>
      <c r="C2858" t="s">
        <v>157</v>
      </c>
      <c r="D2858" t="s">
        <v>139</v>
      </c>
      <c r="E2858" t="s">
        <v>153</v>
      </c>
      <c r="F2858" s="2">
        <v>80</v>
      </c>
    </row>
    <row r="2859" spans="1:6">
      <c r="A2859" s="1">
        <v>43765</v>
      </c>
      <c r="B2859" t="s">
        <v>3005</v>
      </c>
      <c r="C2859" t="s">
        <v>138</v>
      </c>
      <c r="D2859" t="s">
        <v>133</v>
      </c>
      <c r="E2859" t="s">
        <v>153</v>
      </c>
      <c r="F2859" s="2">
        <v>30</v>
      </c>
    </row>
    <row r="2860" spans="1:6">
      <c r="A2860" s="1">
        <v>43765</v>
      </c>
      <c r="B2860" t="s">
        <v>3006</v>
      </c>
      <c r="C2860" t="s">
        <v>148</v>
      </c>
      <c r="D2860" t="s">
        <v>146</v>
      </c>
      <c r="E2860" t="s">
        <v>121</v>
      </c>
      <c r="F2860" s="2">
        <v>50</v>
      </c>
    </row>
    <row r="2861" spans="1:6">
      <c r="A2861" s="1">
        <v>43765</v>
      </c>
      <c r="B2861" t="s">
        <v>3007</v>
      </c>
      <c r="C2861" t="s">
        <v>138</v>
      </c>
      <c r="D2861" t="s">
        <v>133</v>
      </c>
      <c r="E2861" t="s">
        <v>127</v>
      </c>
      <c r="F2861" s="2">
        <v>30</v>
      </c>
    </row>
    <row r="2862" spans="1:6">
      <c r="A2862" s="1">
        <v>43765</v>
      </c>
      <c r="B2862" t="s">
        <v>3008</v>
      </c>
      <c r="C2862" t="s">
        <v>123</v>
      </c>
      <c r="D2862" t="s">
        <v>139</v>
      </c>
      <c r="E2862" t="s">
        <v>121</v>
      </c>
      <c r="F2862" s="2">
        <v>80</v>
      </c>
    </row>
    <row r="2863" spans="1:6">
      <c r="A2863" s="1">
        <v>43765</v>
      </c>
      <c r="B2863" t="s">
        <v>3009</v>
      </c>
      <c r="C2863" t="s">
        <v>138</v>
      </c>
      <c r="D2863" t="s">
        <v>146</v>
      </c>
      <c r="E2863" t="s">
        <v>121</v>
      </c>
      <c r="F2863" s="2">
        <v>50</v>
      </c>
    </row>
    <row r="2864" spans="1:6">
      <c r="A2864" s="1">
        <v>43765</v>
      </c>
      <c r="B2864" t="s">
        <v>3010</v>
      </c>
      <c r="C2864" t="s">
        <v>125</v>
      </c>
      <c r="D2864" t="s">
        <v>146</v>
      </c>
      <c r="E2864" t="s">
        <v>131</v>
      </c>
      <c r="F2864" s="2">
        <v>50</v>
      </c>
    </row>
    <row r="2865" spans="1:6">
      <c r="A2865" s="1">
        <v>43766</v>
      </c>
      <c r="B2865" t="s">
        <v>3011</v>
      </c>
      <c r="C2865" t="s">
        <v>223</v>
      </c>
      <c r="D2865" t="s">
        <v>130</v>
      </c>
      <c r="E2865" t="s">
        <v>121</v>
      </c>
      <c r="F2865" s="2">
        <v>100</v>
      </c>
    </row>
    <row r="2866" spans="1:6">
      <c r="A2866" s="1">
        <v>43766</v>
      </c>
      <c r="B2866" t="s">
        <v>3012</v>
      </c>
      <c r="C2866" t="s">
        <v>125</v>
      </c>
      <c r="D2866" t="s">
        <v>126</v>
      </c>
      <c r="E2866" t="s">
        <v>134</v>
      </c>
      <c r="F2866" s="2">
        <v>160</v>
      </c>
    </row>
    <row r="2867" spans="1:6">
      <c r="A2867" s="1">
        <v>43766</v>
      </c>
      <c r="B2867" t="s">
        <v>3013</v>
      </c>
      <c r="C2867" t="s">
        <v>129</v>
      </c>
      <c r="D2867" t="s">
        <v>141</v>
      </c>
      <c r="E2867" t="s">
        <v>121</v>
      </c>
      <c r="F2867" s="2">
        <v>180</v>
      </c>
    </row>
    <row r="2868" spans="1:6">
      <c r="A2868" s="1">
        <v>43766</v>
      </c>
      <c r="B2868" t="s">
        <v>3014</v>
      </c>
      <c r="C2868" t="s">
        <v>123</v>
      </c>
      <c r="D2868" t="s">
        <v>159</v>
      </c>
      <c r="E2868" t="s">
        <v>121</v>
      </c>
      <c r="F2868" s="2">
        <v>150</v>
      </c>
    </row>
    <row r="2869" spans="1:6">
      <c r="A2869" s="1">
        <v>43766</v>
      </c>
      <c r="B2869" t="s">
        <v>3015</v>
      </c>
      <c r="C2869" t="s">
        <v>189</v>
      </c>
      <c r="D2869" t="s">
        <v>159</v>
      </c>
      <c r="E2869" t="s">
        <v>153</v>
      </c>
      <c r="F2869" s="2">
        <v>150</v>
      </c>
    </row>
    <row r="2870" spans="1:6">
      <c r="A2870" s="1">
        <v>43766</v>
      </c>
      <c r="B2870" t="s">
        <v>3016</v>
      </c>
      <c r="C2870" t="s">
        <v>138</v>
      </c>
      <c r="D2870" t="s">
        <v>126</v>
      </c>
      <c r="E2870" t="s">
        <v>127</v>
      </c>
      <c r="F2870" s="2">
        <v>160</v>
      </c>
    </row>
    <row r="2871" spans="1:6">
      <c r="A2871" s="1">
        <v>43766</v>
      </c>
      <c r="B2871" t="s">
        <v>3017</v>
      </c>
      <c r="C2871" t="s">
        <v>167</v>
      </c>
      <c r="D2871" t="s">
        <v>146</v>
      </c>
      <c r="E2871" t="s">
        <v>134</v>
      </c>
      <c r="F2871" s="2">
        <v>50</v>
      </c>
    </row>
    <row r="2872" spans="1:6">
      <c r="A2872" s="1">
        <v>43766</v>
      </c>
      <c r="B2872" t="s">
        <v>3018</v>
      </c>
      <c r="C2872" t="s">
        <v>157</v>
      </c>
      <c r="D2872" t="s">
        <v>133</v>
      </c>
      <c r="E2872" t="s">
        <v>131</v>
      </c>
      <c r="F2872" s="2">
        <v>30</v>
      </c>
    </row>
    <row r="2873" spans="1:6">
      <c r="A2873" s="1">
        <v>43766</v>
      </c>
      <c r="B2873" t="s">
        <v>3019</v>
      </c>
      <c r="C2873" t="s">
        <v>143</v>
      </c>
      <c r="D2873" t="s">
        <v>133</v>
      </c>
      <c r="E2873" t="s">
        <v>127</v>
      </c>
      <c r="F2873" s="2">
        <v>30</v>
      </c>
    </row>
    <row r="2874" spans="1:6">
      <c r="A2874" s="1">
        <v>43766</v>
      </c>
      <c r="B2874" t="s">
        <v>3020</v>
      </c>
      <c r="C2874" t="s">
        <v>148</v>
      </c>
      <c r="D2874" t="s">
        <v>139</v>
      </c>
      <c r="E2874" t="s">
        <v>134</v>
      </c>
      <c r="F2874" s="2">
        <v>80</v>
      </c>
    </row>
    <row r="2875" spans="1:6">
      <c r="A2875" s="1">
        <v>43766</v>
      </c>
      <c r="B2875" t="s">
        <v>3021</v>
      </c>
      <c r="C2875" t="s">
        <v>145</v>
      </c>
      <c r="D2875" t="s">
        <v>141</v>
      </c>
      <c r="E2875" t="s">
        <v>131</v>
      </c>
      <c r="F2875" s="2">
        <v>180</v>
      </c>
    </row>
    <row r="2876" spans="1:6">
      <c r="A2876" s="1">
        <v>43766</v>
      </c>
      <c r="B2876" t="s">
        <v>3022</v>
      </c>
      <c r="C2876" t="s">
        <v>148</v>
      </c>
      <c r="D2876" t="s">
        <v>141</v>
      </c>
      <c r="E2876" t="s">
        <v>121</v>
      </c>
      <c r="F2876" s="2">
        <v>180</v>
      </c>
    </row>
    <row r="2877" spans="1:6">
      <c r="A2877" s="1">
        <v>43766</v>
      </c>
      <c r="B2877" t="s">
        <v>3023</v>
      </c>
      <c r="C2877" t="s">
        <v>123</v>
      </c>
      <c r="D2877" t="s">
        <v>133</v>
      </c>
      <c r="E2877" t="s">
        <v>131</v>
      </c>
      <c r="F2877" s="2">
        <v>30</v>
      </c>
    </row>
    <row r="2878" spans="1:6">
      <c r="A2878" s="1">
        <v>43766</v>
      </c>
      <c r="B2878" t="s">
        <v>3024</v>
      </c>
      <c r="C2878" t="s">
        <v>157</v>
      </c>
      <c r="D2878" t="s">
        <v>130</v>
      </c>
      <c r="E2878" t="s">
        <v>134</v>
      </c>
      <c r="F2878" s="2">
        <v>100</v>
      </c>
    </row>
    <row r="2879" spans="1:6">
      <c r="A2879" s="1">
        <v>43766</v>
      </c>
      <c r="B2879" t="s">
        <v>3025</v>
      </c>
      <c r="C2879" t="s">
        <v>189</v>
      </c>
      <c r="D2879" t="s">
        <v>133</v>
      </c>
      <c r="E2879" t="s">
        <v>134</v>
      </c>
      <c r="F2879" s="2">
        <v>30</v>
      </c>
    </row>
    <row r="2880" spans="1:6">
      <c r="A2880" s="1">
        <v>43766</v>
      </c>
      <c r="B2880" t="s">
        <v>3026</v>
      </c>
      <c r="C2880" t="s">
        <v>148</v>
      </c>
      <c r="D2880" t="s">
        <v>133</v>
      </c>
      <c r="E2880" t="s">
        <v>131</v>
      </c>
      <c r="F2880" s="2">
        <v>30</v>
      </c>
    </row>
    <row r="2881" spans="1:6">
      <c r="A2881" s="1">
        <v>43766</v>
      </c>
      <c r="B2881" t="s">
        <v>3027</v>
      </c>
      <c r="C2881" t="s">
        <v>164</v>
      </c>
      <c r="D2881" t="s">
        <v>139</v>
      </c>
      <c r="E2881" t="s">
        <v>134</v>
      </c>
      <c r="F2881" s="2">
        <v>80</v>
      </c>
    </row>
    <row r="2882" spans="1:6">
      <c r="A2882" s="1">
        <v>43767</v>
      </c>
      <c r="B2882" t="s">
        <v>3028</v>
      </c>
      <c r="C2882" t="s">
        <v>129</v>
      </c>
      <c r="D2882" t="s">
        <v>159</v>
      </c>
      <c r="E2882" t="s">
        <v>131</v>
      </c>
      <c r="F2882" s="2">
        <v>150</v>
      </c>
    </row>
    <row r="2883" spans="1:6">
      <c r="A2883" s="1">
        <v>43767</v>
      </c>
      <c r="B2883" t="s">
        <v>3029</v>
      </c>
      <c r="C2883" t="s">
        <v>187</v>
      </c>
      <c r="D2883" t="s">
        <v>141</v>
      </c>
      <c r="E2883" t="s">
        <v>131</v>
      </c>
      <c r="F2883" s="2">
        <v>180</v>
      </c>
    </row>
    <row r="2884" spans="1:6">
      <c r="A2884" s="1">
        <v>43767</v>
      </c>
      <c r="B2884" t="s">
        <v>3030</v>
      </c>
      <c r="C2884" t="s">
        <v>129</v>
      </c>
      <c r="D2884" t="s">
        <v>146</v>
      </c>
      <c r="E2884" t="s">
        <v>134</v>
      </c>
      <c r="F2884" s="2">
        <v>50</v>
      </c>
    </row>
    <row r="2885" spans="1:6">
      <c r="A2885" s="1">
        <v>43767</v>
      </c>
      <c r="B2885" t="s">
        <v>3031</v>
      </c>
      <c r="C2885" t="s">
        <v>138</v>
      </c>
      <c r="D2885" t="s">
        <v>146</v>
      </c>
      <c r="E2885" t="s">
        <v>121</v>
      </c>
      <c r="F2885" s="2">
        <v>50</v>
      </c>
    </row>
    <row r="2886" spans="1:6">
      <c r="A2886" s="1">
        <v>43767</v>
      </c>
      <c r="B2886" t="s">
        <v>3032</v>
      </c>
      <c r="C2886" t="s">
        <v>223</v>
      </c>
      <c r="D2886" t="s">
        <v>126</v>
      </c>
      <c r="E2886" t="s">
        <v>127</v>
      </c>
      <c r="F2886" s="2">
        <v>160</v>
      </c>
    </row>
    <row r="2887" spans="1:6">
      <c r="A2887" s="1">
        <v>43767</v>
      </c>
      <c r="B2887" t="s">
        <v>3033</v>
      </c>
      <c r="C2887" t="s">
        <v>187</v>
      </c>
      <c r="D2887" t="s">
        <v>159</v>
      </c>
      <c r="E2887" t="s">
        <v>121</v>
      </c>
      <c r="F2887" s="2">
        <v>150</v>
      </c>
    </row>
    <row r="2888" spans="1:6">
      <c r="A2888" s="1">
        <v>43767</v>
      </c>
      <c r="B2888" t="s">
        <v>3034</v>
      </c>
      <c r="C2888" t="s">
        <v>187</v>
      </c>
      <c r="D2888" t="s">
        <v>120</v>
      </c>
      <c r="E2888" t="s">
        <v>153</v>
      </c>
      <c r="F2888" s="2">
        <v>90</v>
      </c>
    </row>
    <row r="2889" spans="1:6">
      <c r="A2889" s="1">
        <v>43767</v>
      </c>
      <c r="B2889" t="s">
        <v>3035</v>
      </c>
      <c r="C2889" t="s">
        <v>164</v>
      </c>
      <c r="D2889" t="s">
        <v>130</v>
      </c>
      <c r="E2889" t="s">
        <v>153</v>
      </c>
      <c r="F2889" s="2">
        <v>100</v>
      </c>
    </row>
    <row r="2890" spans="1:6">
      <c r="A2890" s="1">
        <v>43767</v>
      </c>
      <c r="B2890" t="s">
        <v>3036</v>
      </c>
      <c r="C2890" t="s">
        <v>157</v>
      </c>
      <c r="D2890" t="s">
        <v>159</v>
      </c>
      <c r="E2890" t="s">
        <v>153</v>
      </c>
      <c r="F2890" s="2">
        <v>150</v>
      </c>
    </row>
    <row r="2891" spans="1:6">
      <c r="A2891" s="1">
        <v>43767</v>
      </c>
      <c r="B2891" t="s">
        <v>3037</v>
      </c>
      <c r="C2891" t="s">
        <v>157</v>
      </c>
      <c r="D2891" t="s">
        <v>130</v>
      </c>
      <c r="E2891" t="s">
        <v>153</v>
      </c>
      <c r="F2891" s="2">
        <v>100</v>
      </c>
    </row>
    <row r="2892" spans="1:6">
      <c r="A2892" s="1">
        <v>43768</v>
      </c>
      <c r="B2892" t="s">
        <v>3038</v>
      </c>
      <c r="C2892" t="s">
        <v>223</v>
      </c>
      <c r="D2892" t="s">
        <v>126</v>
      </c>
      <c r="E2892" t="s">
        <v>153</v>
      </c>
      <c r="F2892" s="2">
        <v>160</v>
      </c>
    </row>
    <row r="2893" spans="1:6">
      <c r="A2893" s="1">
        <v>43768</v>
      </c>
      <c r="B2893" t="s">
        <v>3039</v>
      </c>
      <c r="C2893" t="s">
        <v>164</v>
      </c>
      <c r="D2893" t="s">
        <v>126</v>
      </c>
      <c r="E2893" t="s">
        <v>134</v>
      </c>
      <c r="F2893" s="2">
        <v>160</v>
      </c>
    </row>
    <row r="2894" spans="1:6">
      <c r="A2894" s="1">
        <v>43768</v>
      </c>
      <c r="B2894" t="s">
        <v>3040</v>
      </c>
      <c r="C2894" t="s">
        <v>123</v>
      </c>
      <c r="D2894" t="s">
        <v>133</v>
      </c>
      <c r="E2894" t="s">
        <v>131</v>
      </c>
      <c r="F2894" s="2">
        <v>30</v>
      </c>
    </row>
    <row r="2895" spans="1:6">
      <c r="A2895" s="1">
        <v>43768</v>
      </c>
      <c r="B2895" t="s">
        <v>3041</v>
      </c>
      <c r="C2895" t="s">
        <v>123</v>
      </c>
      <c r="D2895" t="s">
        <v>130</v>
      </c>
      <c r="E2895" t="s">
        <v>121</v>
      </c>
      <c r="F2895" s="2">
        <v>100</v>
      </c>
    </row>
    <row r="2896" spans="1:6">
      <c r="A2896" s="1">
        <v>43768</v>
      </c>
      <c r="B2896" t="s">
        <v>3042</v>
      </c>
      <c r="C2896" t="s">
        <v>157</v>
      </c>
      <c r="D2896" t="s">
        <v>146</v>
      </c>
      <c r="E2896" t="s">
        <v>153</v>
      </c>
      <c r="F2896" s="2">
        <v>50</v>
      </c>
    </row>
    <row r="2897" spans="1:6">
      <c r="A2897" s="1">
        <v>43768</v>
      </c>
      <c r="B2897" t="s">
        <v>3043</v>
      </c>
      <c r="C2897" t="s">
        <v>123</v>
      </c>
      <c r="D2897" t="s">
        <v>141</v>
      </c>
      <c r="E2897" t="s">
        <v>153</v>
      </c>
      <c r="F2897" s="2">
        <v>180</v>
      </c>
    </row>
    <row r="2898" spans="1:6">
      <c r="A2898" s="1">
        <v>43768</v>
      </c>
      <c r="B2898" t="s">
        <v>3044</v>
      </c>
      <c r="C2898" t="s">
        <v>136</v>
      </c>
      <c r="D2898" t="s">
        <v>126</v>
      </c>
      <c r="E2898" t="s">
        <v>134</v>
      </c>
      <c r="F2898" s="2">
        <v>160</v>
      </c>
    </row>
    <row r="2899" spans="1:6">
      <c r="A2899" s="1">
        <v>43768</v>
      </c>
      <c r="B2899" t="s">
        <v>3045</v>
      </c>
      <c r="C2899" t="s">
        <v>182</v>
      </c>
      <c r="D2899" t="s">
        <v>141</v>
      </c>
      <c r="E2899" t="s">
        <v>131</v>
      </c>
      <c r="F2899" s="2">
        <v>180</v>
      </c>
    </row>
    <row r="2900" spans="1:6">
      <c r="A2900" s="1">
        <v>43769</v>
      </c>
      <c r="B2900" t="s">
        <v>3046</v>
      </c>
      <c r="C2900" t="s">
        <v>152</v>
      </c>
      <c r="D2900" t="s">
        <v>139</v>
      </c>
      <c r="E2900" t="s">
        <v>153</v>
      </c>
      <c r="F2900" s="2">
        <v>80</v>
      </c>
    </row>
    <row r="2901" spans="1:6">
      <c r="A2901" s="1">
        <v>43769</v>
      </c>
      <c r="B2901" t="s">
        <v>3047</v>
      </c>
      <c r="C2901" t="s">
        <v>189</v>
      </c>
      <c r="D2901" t="s">
        <v>120</v>
      </c>
      <c r="E2901" t="s">
        <v>121</v>
      </c>
      <c r="F2901" s="2">
        <v>90</v>
      </c>
    </row>
    <row r="2902" spans="1:6">
      <c r="A2902" s="1">
        <v>43769</v>
      </c>
      <c r="B2902" t="s">
        <v>3048</v>
      </c>
      <c r="C2902" t="s">
        <v>157</v>
      </c>
      <c r="D2902" t="s">
        <v>146</v>
      </c>
      <c r="E2902" t="s">
        <v>127</v>
      </c>
      <c r="F2902" s="2">
        <v>50</v>
      </c>
    </row>
    <row r="2903" spans="1:6">
      <c r="A2903" s="1">
        <v>43769</v>
      </c>
      <c r="B2903" t="s">
        <v>3049</v>
      </c>
      <c r="C2903" t="s">
        <v>189</v>
      </c>
      <c r="D2903" t="s">
        <v>130</v>
      </c>
      <c r="E2903" t="s">
        <v>131</v>
      </c>
      <c r="F2903" s="2">
        <v>100</v>
      </c>
    </row>
    <row r="2904" spans="1:6">
      <c r="A2904" s="1">
        <v>43769</v>
      </c>
      <c r="B2904" t="s">
        <v>3050</v>
      </c>
      <c r="C2904" t="s">
        <v>182</v>
      </c>
      <c r="D2904" t="s">
        <v>126</v>
      </c>
      <c r="E2904" t="s">
        <v>121</v>
      </c>
      <c r="F2904" s="2">
        <v>160</v>
      </c>
    </row>
    <row r="2905" spans="1:6">
      <c r="A2905" s="1">
        <v>43769</v>
      </c>
      <c r="B2905" t="s">
        <v>3051</v>
      </c>
      <c r="C2905" t="s">
        <v>189</v>
      </c>
      <c r="D2905" t="s">
        <v>130</v>
      </c>
      <c r="E2905" t="s">
        <v>121</v>
      </c>
      <c r="F2905" s="2">
        <v>100</v>
      </c>
    </row>
    <row r="2906" spans="1:6">
      <c r="A2906" s="1">
        <v>43770</v>
      </c>
      <c r="B2906" t="s">
        <v>3052</v>
      </c>
      <c r="C2906" t="s">
        <v>152</v>
      </c>
      <c r="D2906" t="s">
        <v>141</v>
      </c>
      <c r="E2906" t="s">
        <v>121</v>
      </c>
      <c r="F2906" s="2">
        <v>180</v>
      </c>
    </row>
    <row r="2907" spans="1:6">
      <c r="A2907" s="1">
        <v>43770</v>
      </c>
      <c r="B2907" t="s">
        <v>3053</v>
      </c>
      <c r="C2907" t="s">
        <v>145</v>
      </c>
      <c r="D2907" t="s">
        <v>126</v>
      </c>
      <c r="E2907" t="s">
        <v>134</v>
      </c>
      <c r="F2907" s="2">
        <v>160</v>
      </c>
    </row>
    <row r="2908" spans="1:6">
      <c r="A2908" s="1">
        <v>43770</v>
      </c>
      <c r="B2908" t="s">
        <v>3054</v>
      </c>
      <c r="C2908" t="s">
        <v>119</v>
      </c>
      <c r="D2908" t="s">
        <v>141</v>
      </c>
      <c r="E2908" t="s">
        <v>153</v>
      </c>
      <c r="F2908" s="2">
        <v>180</v>
      </c>
    </row>
    <row r="2909" spans="1:6">
      <c r="A2909" s="1">
        <v>43770</v>
      </c>
      <c r="B2909" t="s">
        <v>3055</v>
      </c>
      <c r="C2909" t="s">
        <v>125</v>
      </c>
      <c r="D2909" t="s">
        <v>146</v>
      </c>
      <c r="E2909" t="s">
        <v>131</v>
      </c>
      <c r="F2909" s="2">
        <v>50</v>
      </c>
    </row>
    <row r="2910" spans="1:6">
      <c r="A2910" s="1">
        <v>43770</v>
      </c>
      <c r="B2910" t="s">
        <v>3056</v>
      </c>
      <c r="C2910" t="s">
        <v>164</v>
      </c>
      <c r="D2910" t="s">
        <v>120</v>
      </c>
      <c r="E2910" t="s">
        <v>131</v>
      </c>
      <c r="F2910" s="2">
        <v>90</v>
      </c>
    </row>
    <row r="2911" spans="1:6">
      <c r="A2911" s="1">
        <v>43770</v>
      </c>
      <c r="B2911" t="s">
        <v>3057</v>
      </c>
      <c r="C2911" t="s">
        <v>136</v>
      </c>
      <c r="D2911" t="s">
        <v>126</v>
      </c>
      <c r="E2911" t="s">
        <v>121</v>
      </c>
      <c r="F2911" s="2">
        <v>160</v>
      </c>
    </row>
    <row r="2912" spans="1:6">
      <c r="A2912" s="1">
        <v>43770</v>
      </c>
      <c r="B2912" t="s">
        <v>3058</v>
      </c>
      <c r="C2912" t="s">
        <v>164</v>
      </c>
      <c r="D2912" t="s">
        <v>133</v>
      </c>
      <c r="E2912" t="s">
        <v>131</v>
      </c>
      <c r="F2912" s="2">
        <v>30</v>
      </c>
    </row>
    <row r="2913" spans="1:6">
      <c r="A2913" s="1">
        <v>43770</v>
      </c>
      <c r="B2913" t="s">
        <v>3059</v>
      </c>
      <c r="C2913" t="s">
        <v>167</v>
      </c>
      <c r="D2913" t="s">
        <v>133</v>
      </c>
      <c r="E2913" t="s">
        <v>127</v>
      </c>
      <c r="F2913" s="2">
        <v>30</v>
      </c>
    </row>
    <row r="2914" spans="1:6">
      <c r="A2914" s="1">
        <v>43770</v>
      </c>
      <c r="B2914" t="s">
        <v>3060</v>
      </c>
      <c r="C2914" t="s">
        <v>136</v>
      </c>
      <c r="D2914" t="s">
        <v>130</v>
      </c>
      <c r="E2914" t="s">
        <v>121</v>
      </c>
      <c r="F2914" s="2">
        <v>100</v>
      </c>
    </row>
    <row r="2915" spans="1:6">
      <c r="A2915" s="1">
        <v>43771</v>
      </c>
      <c r="B2915" t="s">
        <v>3061</v>
      </c>
      <c r="C2915" t="s">
        <v>136</v>
      </c>
      <c r="D2915" t="s">
        <v>159</v>
      </c>
      <c r="E2915" t="s">
        <v>131</v>
      </c>
      <c r="F2915" s="2">
        <v>150</v>
      </c>
    </row>
    <row r="2916" spans="1:6">
      <c r="A2916" s="1">
        <v>43771</v>
      </c>
      <c r="B2916" t="s">
        <v>3062</v>
      </c>
      <c r="C2916" t="s">
        <v>138</v>
      </c>
      <c r="D2916" t="s">
        <v>133</v>
      </c>
      <c r="E2916" t="s">
        <v>134</v>
      </c>
      <c r="F2916" s="2">
        <v>30</v>
      </c>
    </row>
    <row r="2917" spans="1:6">
      <c r="A2917" s="1">
        <v>43771</v>
      </c>
      <c r="B2917" t="s">
        <v>3063</v>
      </c>
      <c r="C2917" t="s">
        <v>125</v>
      </c>
      <c r="D2917" t="s">
        <v>126</v>
      </c>
      <c r="E2917" t="s">
        <v>134</v>
      </c>
      <c r="F2917" s="2">
        <v>160</v>
      </c>
    </row>
    <row r="2918" spans="1:6">
      <c r="A2918" s="1">
        <v>43771</v>
      </c>
      <c r="B2918" t="s">
        <v>3064</v>
      </c>
      <c r="C2918" t="s">
        <v>152</v>
      </c>
      <c r="D2918" t="s">
        <v>130</v>
      </c>
      <c r="E2918" t="s">
        <v>153</v>
      </c>
      <c r="F2918" s="2">
        <v>100</v>
      </c>
    </row>
    <row r="2919" spans="1:6">
      <c r="A2919" s="1">
        <v>43771</v>
      </c>
      <c r="B2919" t="s">
        <v>3065</v>
      </c>
      <c r="C2919" t="s">
        <v>123</v>
      </c>
      <c r="D2919" t="s">
        <v>120</v>
      </c>
      <c r="E2919" t="s">
        <v>131</v>
      </c>
      <c r="F2919" s="2">
        <v>90</v>
      </c>
    </row>
    <row r="2920" spans="1:6">
      <c r="A2920" s="1">
        <v>43771</v>
      </c>
      <c r="B2920" t="s">
        <v>3066</v>
      </c>
      <c r="C2920" t="s">
        <v>143</v>
      </c>
      <c r="D2920" t="s">
        <v>130</v>
      </c>
      <c r="E2920" t="s">
        <v>131</v>
      </c>
      <c r="F2920" s="2">
        <v>100</v>
      </c>
    </row>
    <row r="2921" spans="1:6">
      <c r="A2921" s="1">
        <v>43771</v>
      </c>
      <c r="B2921" t="s">
        <v>3067</v>
      </c>
      <c r="C2921" t="s">
        <v>119</v>
      </c>
      <c r="D2921" t="s">
        <v>146</v>
      </c>
      <c r="E2921" t="s">
        <v>127</v>
      </c>
      <c r="F2921" s="2">
        <v>50</v>
      </c>
    </row>
    <row r="2922" spans="1:6">
      <c r="A2922" s="1">
        <v>43772</v>
      </c>
      <c r="B2922" t="s">
        <v>3068</v>
      </c>
      <c r="C2922" t="s">
        <v>143</v>
      </c>
      <c r="D2922" t="s">
        <v>159</v>
      </c>
      <c r="E2922" t="s">
        <v>121</v>
      </c>
      <c r="F2922" s="2">
        <v>150</v>
      </c>
    </row>
    <row r="2923" spans="1:6">
      <c r="A2923" s="1">
        <v>43772</v>
      </c>
      <c r="B2923" t="s">
        <v>3069</v>
      </c>
      <c r="C2923" t="s">
        <v>164</v>
      </c>
      <c r="D2923" t="s">
        <v>146</v>
      </c>
      <c r="E2923" t="s">
        <v>121</v>
      </c>
      <c r="F2923" s="2">
        <v>50</v>
      </c>
    </row>
    <row r="2924" spans="1:6">
      <c r="A2924" s="1">
        <v>43772</v>
      </c>
      <c r="B2924" t="s">
        <v>3070</v>
      </c>
      <c r="C2924" t="s">
        <v>189</v>
      </c>
      <c r="D2924" t="s">
        <v>146</v>
      </c>
      <c r="E2924" t="s">
        <v>134</v>
      </c>
      <c r="F2924" s="2">
        <v>50</v>
      </c>
    </row>
    <row r="2925" spans="1:6">
      <c r="A2925" s="1">
        <v>43772</v>
      </c>
      <c r="B2925" t="s">
        <v>3071</v>
      </c>
      <c r="C2925" t="s">
        <v>182</v>
      </c>
      <c r="D2925" t="s">
        <v>146</v>
      </c>
      <c r="E2925" t="s">
        <v>131</v>
      </c>
      <c r="F2925" s="2">
        <v>50</v>
      </c>
    </row>
    <row r="2926" spans="1:6">
      <c r="A2926" s="1">
        <v>43772</v>
      </c>
      <c r="B2926" t="s">
        <v>3072</v>
      </c>
      <c r="C2926" t="s">
        <v>182</v>
      </c>
      <c r="D2926" t="s">
        <v>130</v>
      </c>
      <c r="E2926" t="s">
        <v>153</v>
      </c>
      <c r="F2926" s="2">
        <v>100</v>
      </c>
    </row>
    <row r="2927" spans="1:6">
      <c r="A2927" s="1">
        <v>43772</v>
      </c>
      <c r="B2927" t="s">
        <v>3073</v>
      </c>
      <c r="C2927" t="s">
        <v>164</v>
      </c>
      <c r="D2927" t="s">
        <v>126</v>
      </c>
      <c r="E2927" t="s">
        <v>127</v>
      </c>
      <c r="F2927" s="2">
        <v>160</v>
      </c>
    </row>
    <row r="2928" spans="1:6">
      <c r="A2928" s="1">
        <v>43772</v>
      </c>
      <c r="B2928" t="s">
        <v>3074</v>
      </c>
      <c r="C2928" t="s">
        <v>187</v>
      </c>
      <c r="D2928" t="s">
        <v>126</v>
      </c>
      <c r="E2928" t="s">
        <v>153</v>
      </c>
      <c r="F2928" s="2">
        <v>160</v>
      </c>
    </row>
    <row r="2929" spans="1:6">
      <c r="A2929" s="1">
        <v>43772</v>
      </c>
      <c r="B2929" t="s">
        <v>3075</v>
      </c>
      <c r="C2929" t="s">
        <v>152</v>
      </c>
      <c r="D2929" t="s">
        <v>126</v>
      </c>
      <c r="E2929" t="s">
        <v>153</v>
      </c>
      <c r="F2929" s="2">
        <v>160</v>
      </c>
    </row>
    <row r="2930" spans="1:6">
      <c r="A2930" s="1">
        <v>43772</v>
      </c>
      <c r="B2930" t="s">
        <v>3076</v>
      </c>
      <c r="C2930" t="s">
        <v>148</v>
      </c>
      <c r="D2930" t="s">
        <v>139</v>
      </c>
      <c r="E2930" t="s">
        <v>121</v>
      </c>
      <c r="F2930" s="2">
        <v>80</v>
      </c>
    </row>
    <row r="2931" spans="1:6">
      <c r="A2931" s="1">
        <v>43772</v>
      </c>
      <c r="B2931" t="s">
        <v>3077</v>
      </c>
      <c r="C2931" t="s">
        <v>164</v>
      </c>
      <c r="D2931" t="s">
        <v>141</v>
      </c>
      <c r="E2931" t="s">
        <v>131</v>
      </c>
      <c r="F2931" s="2">
        <v>180</v>
      </c>
    </row>
    <row r="2932" spans="1:6">
      <c r="A2932" s="1">
        <v>43772</v>
      </c>
      <c r="B2932" t="s">
        <v>3078</v>
      </c>
      <c r="C2932" t="s">
        <v>152</v>
      </c>
      <c r="D2932" t="s">
        <v>133</v>
      </c>
      <c r="E2932" t="s">
        <v>127</v>
      </c>
      <c r="F2932" s="2">
        <v>30</v>
      </c>
    </row>
    <row r="2933" spans="1:6">
      <c r="A2933" s="1">
        <v>43772</v>
      </c>
      <c r="B2933" t="s">
        <v>3079</v>
      </c>
      <c r="C2933" t="s">
        <v>129</v>
      </c>
      <c r="D2933" t="s">
        <v>139</v>
      </c>
      <c r="E2933" t="s">
        <v>127</v>
      </c>
      <c r="F2933" s="2">
        <v>80</v>
      </c>
    </row>
    <row r="2934" spans="1:6">
      <c r="A2934" s="1">
        <v>43773</v>
      </c>
      <c r="B2934" t="s">
        <v>3080</v>
      </c>
      <c r="C2934" t="s">
        <v>157</v>
      </c>
      <c r="D2934" t="s">
        <v>133</v>
      </c>
      <c r="E2934" t="s">
        <v>131</v>
      </c>
      <c r="F2934" s="2">
        <v>30</v>
      </c>
    </row>
    <row r="2935" spans="1:6">
      <c r="A2935" s="1">
        <v>43773</v>
      </c>
      <c r="B2935" t="s">
        <v>3081</v>
      </c>
      <c r="C2935" t="s">
        <v>143</v>
      </c>
      <c r="D2935" t="s">
        <v>120</v>
      </c>
      <c r="E2935" t="s">
        <v>121</v>
      </c>
      <c r="F2935" s="2">
        <v>90</v>
      </c>
    </row>
    <row r="2936" spans="1:6">
      <c r="A2936" s="1">
        <v>43773</v>
      </c>
      <c r="B2936" t="s">
        <v>3082</v>
      </c>
      <c r="C2936" t="s">
        <v>187</v>
      </c>
      <c r="D2936" t="s">
        <v>133</v>
      </c>
      <c r="E2936" t="s">
        <v>131</v>
      </c>
      <c r="F2936" s="2">
        <v>30</v>
      </c>
    </row>
    <row r="2937" spans="1:6">
      <c r="A2937" s="1">
        <v>43773</v>
      </c>
      <c r="B2937" t="s">
        <v>3083</v>
      </c>
      <c r="C2937" t="s">
        <v>119</v>
      </c>
      <c r="D2937" t="s">
        <v>133</v>
      </c>
      <c r="E2937" t="s">
        <v>134</v>
      </c>
      <c r="F2937" s="2">
        <v>30</v>
      </c>
    </row>
    <row r="2938" spans="1:6">
      <c r="A2938" s="1">
        <v>43773</v>
      </c>
      <c r="B2938" t="s">
        <v>3084</v>
      </c>
      <c r="C2938" t="s">
        <v>123</v>
      </c>
      <c r="D2938" t="s">
        <v>133</v>
      </c>
      <c r="E2938" t="s">
        <v>131</v>
      </c>
      <c r="F2938" s="2">
        <v>30</v>
      </c>
    </row>
    <row r="2939" spans="1:6">
      <c r="A2939" s="1">
        <v>43773</v>
      </c>
      <c r="B2939" t="s">
        <v>3085</v>
      </c>
      <c r="C2939" t="s">
        <v>189</v>
      </c>
      <c r="D2939" t="s">
        <v>133</v>
      </c>
      <c r="E2939" t="s">
        <v>131</v>
      </c>
      <c r="F2939" s="2">
        <v>30</v>
      </c>
    </row>
    <row r="2940" spans="1:6">
      <c r="A2940" s="1">
        <v>43773</v>
      </c>
      <c r="B2940" t="s">
        <v>3086</v>
      </c>
      <c r="C2940" t="s">
        <v>187</v>
      </c>
      <c r="D2940" t="s">
        <v>141</v>
      </c>
      <c r="E2940" t="s">
        <v>127</v>
      </c>
      <c r="F2940" s="2">
        <v>180</v>
      </c>
    </row>
    <row r="2941" spans="1:6">
      <c r="A2941" s="1">
        <v>43773</v>
      </c>
      <c r="B2941" t="s">
        <v>3087</v>
      </c>
      <c r="C2941" t="s">
        <v>223</v>
      </c>
      <c r="D2941" t="s">
        <v>141</v>
      </c>
      <c r="E2941" t="s">
        <v>121</v>
      </c>
      <c r="F2941" s="2">
        <v>180</v>
      </c>
    </row>
    <row r="2942" spans="1:6">
      <c r="A2942" s="1">
        <v>43773</v>
      </c>
      <c r="B2942" t="s">
        <v>3088</v>
      </c>
      <c r="C2942" t="s">
        <v>187</v>
      </c>
      <c r="D2942" t="s">
        <v>141</v>
      </c>
      <c r="E2942" t="s">
        <v>153</v>
      </c>
      <c r="F2942" s="2">
        <v>180</v>
      </c>
    </row>
    <row r="2943" spans="1:6">
      <c r="A2943" s="1">
        <v>43773</v>
      </c>
      <c r="B2943" t="s">
        <v>3089</v>
      </c>
      <c r="C2943" t="s">
        <v>143</v>
      </c>
      <c r="D2943" t="s">
        <v>133</v>
      </c>
      <c r="E2943" t="s">
        <v>134</v>
      </c>
      <c r="F2943" s="2">
        <v>30</v>
      </c>
    </row>
    <row r="2944" spans="1:6">
      <c r="A2944" s="1">
        <v>43773</v>
      </c>
      <c r="B2944" t="s">
        <v>3090</v>
      </c>
      <c r="C2944" t="s">
        <v>148</v>
      </c>
      <c r="D2944" t="s">
        <v>130</v>
      </c>
      <c r="E2944" t="s">
        <v>131</v>
      </c>
      <c r="F2944" s="2">
        <v>100</v>
      </c>
    </row>
    <row r="2945" spans="1:6">
      <c r="A2945" s="1">
        <v>43773</v>
      </c>
      <c r="B2945" t="s">
        <v>3091</v>
      </c>
      <c r="C2945" t="s">
        <v>223</v>
      </c>
      <c r="D2945" t="s">
        <v>146</v>
      </c>
      <c r="E2945" t="s">
        <v>121</v>
      </c>
      <c r="F2945" s="2">
        <v>50</v>
      </c>
    </row>
    <row r="2946" spans="1:6">
      <c r="A2946" s="1">
        <v>43773</v>
      </c>
      <c r="B2946" t="s">
        <v>3092</v>
      </c>
      <c r="C2946" t="s">
        <v>136</v>
      </c>
      <c r="D2946" t="s">
        <v>130</v>
      </c>
      <c r="E2946" t="s">
        <v>121</v>
      </c>
      <c r="F2946" s="2">
        <v>100</v>
      </c>
    </row>
    <row r="2947" spans="1:6">
      <c r="A2947" s="1">
        <v>43774</v>
      </c>
      <c r="B2947" t="s">
        <v>3093</v>
      </c>
      <c r="C2947" t="s">
        <v>123</v>
      </c>
      <c r="D2947" t="s">
        <v>139</v>
      </c>
      <c r="E2947" t="s">
        <v>134</v>
      </c>
      <c r="F2947" s="2">
        <v>80</v>
      </c>
    </row>
    <row r="2948" spans="1:6">
      <c r="A2948" s="1">
        <v>43774</v>
      </c>
      <c r="B2948" t="s">
        <v>3094</v>
      </c>
      <c r="C2948" t="s">
        <v>125</v>
      </c>
      <c r="D2948" t="s">
        <v>126</v>
      </c>
      <c r="E2948" t="s">
        <v>131</v>
      </c>
      <c r="F2948" s="2">
        <v>160</v>
      </c>
    </row>
    <row r="2949" spans="1:6">
      <c r="A2949" s="1">
        <v>43774</v>
      </c>
      <c r="B2949" t="s">
        <v>3095</v>
      </c>
      <c r="C2949" t="s">
        <v>119</v>
      </c>
      <c r="D2949" t="s">
        <v>126</v>
      </c>
      <c r="E2949" t="s">
        <v>121</v>
      </c>
      <c r="F2949" s="2">
        <v>160</v>
      </c>
    </row>
    <row r="2950" spans="1:6">
      <c r="A2950" s="1">
        <v>43774</v>
      </c>
      <c r="B2950" t="s">
        <v>3096</v>
      </c>
      <c r="C2950" t="s">
        <v>223</v>
      </c>
      <c r="D2950" t="s">
        <v>159</v>
      </c>
      <c r="E2950" t="s">
        <v>131</v>
      </c>
      <c r="F2950" s="2">
        <v>150</v>
      </c>
    </row>
    <row r="2951" spans="1:6">
      <c r="A2951" s="1">
        <v>43774</v>
      </c>
      <c r="B2951" t="s">
        <v>3097</v>
      </c>
      <c r="C2951" t="s">
        <v>164</v>
      </c>
      <c r="D2951" t="s">
        <v>126</v>
      </c>
      <c r="E2951" t="s">
        <v>134</v>
      </c>
      <c r="F2951" s="2">
        <v>160</v>
      </c>
    </row>
    <row r="2952" spans="1:6">
      <c r="A2952" s="1">
        <v>43774</v>
      </c>
      <c r="B2952" t="s">
        <v>3098</v>
      </c>
      <c r="C2952" t="s">
        <v>182</v>
      </c>
      <c r="D2952" t="s">
        <v>139</v>
      </c>
      <c r="E2952" t="s">
        <v>121</v>
      </c>
      <c r="F2952" s="2">
        <v>80</v>
      </c>
    </row>
    <row r="2953" spans="1:6">
      <c r="A2953" s="1">
        <v>43774</v>
      </c>
      <c r="B2953" t="s">
        <v>3099</v>
      </c>
      <c r="C2953" t="s">
        <v>129</v>
      </c>
      <c r="D2953" t="s">
        <v>146</v>
      </c>
      <c r="E2953" t="s">
        <v>153</v>
      </c>
      <c r="F2953" s="2">
        <v>50</v>
      </c>
    </row>
    <row r="2954" spans="1:6">
      <c r="A2954" s="1">
        <v>43774</v>
      </c>
      <c r="B2954" t="s">
        <v>3100</v>
      </c>
      <c r="C2954" t="s">
        <v>143</v>
      </c>
      <c r="D2954" t="s">
        <v>141</v>
      </c>
      <c r="E2954" t="s">
        <v>127</v>
      </c>
      <c r="F2954" s="2">
        <v>180</v>
      </c>
    </row>
    <row r="2955" spans="1:6">
      <c r="A2955" s="1">
        <v>43774</v>
      </c>
      <c r="B2955" t="s">
        <v>3101</v>
      </c>
      <c r="C2955" t="s">
        <v>123</v>
      </c>
      <c r="D2955" t="s">
        <v>146</v>
      </c>
      <c r="E2955" t="s">
        <v>131</v>
      </c>
      <c r="F2955" s="2">
        <v>50</v>
      </c>
    </row>
    <row r="2956" spans="1:6">
      <c r="A2956" s="1">
        <v>43774</v>
      </c>
      <c r="B2956" t="s">
        <v>3102</v>
      </c>
      <c r="C2956" t="s">
        <v>223</v>
      </c>
      <c r="D2956" t="s">
        <v>159</v>
      </c>
      <c r="E2956" t="s">
        <v>131</v>
      </c>
      <c r="F2956" s="2">
        <v>150</v>
      </c>
    </row>
    <row r="2957" spans="1:6">
      <c r="A2957" s="1">
        <v>43774</v>
      </c>
      <c r="B2957" t="s">
        <v>3103</v>
      </c>
      <c r="C2957" t="s">
        <v>157</v>
      </c>
      <c r="D2957" t="s">
        <v>130</v>
      </c>
      <c r="E2957" t="s">
        <v>134</v>
      </c>
      <c r="F2957" s="2">
        <v>100</v>
      </c>
    </row>
    <row r="2958" spans="1:6">
      <c r="A2958" s="1">
        <v>43774</v>
      </c>
      <c r="B2958" t="s">
        <v>3104</v>
      </c>
      <c r="C2958" t="s">
        <v>182</v>
      </c>
      <c r="D2958" t="s">
        <v>159</v>
      </c>
      <c r="E2958" t="s">
        <v>127</v>
      </c>
      <c r="F2958" s="2">
        <v>150</v>
      </c>
    </row>
    <row r="2959" spans="1:6">
      <c r="A2959" s="1">
        <v>43774</v>
      </c>
      <c r="B2959" t="s">
        <v>3105</v>
      </c>
      <c r="C2959" t="s">
        <v>152</v>
      </c>
      <c r="D2959" t="s">
        <v>159</v>
      </c>
      <c r="E2959" t="s">
        <v>121</v>
      </c>
      <c r="F2959" s="2">
        <v>150</v>
      </c>
    </row>
    <row r="2960" spans="1:6">
      <c r="A2960" s="1">
        <v>43775</v>
      </c>
      <c r="B2960" t="s">
        <v>3106</v>
      </c>
      <c r="C2960" t="s">
        <v>129</v>
      </c>
      <c r="D2960" t="s">
        <v>141</v>
      </c>
      <c r="E2960" t="s">
        <v>127</v>
      </c>
      <c r="F2960" s="2">
        <v>180</v>
      </c>
    </row>
    <row r="2961" spans="1:6">
      <c r="A2961" s="1">
        <v>43775</v>
      </c>
      <c r="B2961" t="s">
        <v>3107</v>
      </c>
      <c r="C2961" t="s">
        <v>223</v>
      </c>
      <c r="D2961" t="s">
        <v>159</v>
      </c>
      <c r="E2961" t="s">
        <v>127</v>
      </c>
      <c r="F2961" s="2">
        <v>150</v>
      </c>
    </row>
    <row r="2962" spans="1:6">
      <c r="A2962" s="1">
        <v>43775</v>
      </c>
      <c r="B2962" t="s">
        <v>3108</v>
      </c>
      <c r="C2962" t="s">
        <v>136</v>
      </c>
      <c r="D2962" t="s">
        <v>133</v>
      </c>
      <c r="E2962" t="s">
        <v>131</v>
      </c>
      <c r="F2962" s="2">
        <v>30</v>
      </c>
    </row>
    <row r="2963" spans="1:6">
      <c r="A2963" s="1">
        <v>43775</v>
      </c>
      <c r="B2963" t="s">
        <v>3109</v>
      </c>
      <c r="C2963" t="s">
        <v>136</v>
      </c>
      <c r="D2963" t="s">
        <v>130</v>
      </c>
      <c r="E2963" t="s">
        <v>153</v>
      </c>
      <c r="F2963" s="2">
        <v>100</v>
      </c>
    </row>
    <row r="2964" spans="1:6">
      <c r="A2964" s="1">
        <v>43775</v>
      </c>
      <c r="B2964" t="s">
        <v>3110</v>
      </c>
      <c r="C2964" t="s">
        <v>167</v>
      </c>
      <c r="D2964" t="s">
        <v>141</v>
      </c>
      <c r="E2964" t="s">
        <v>121</v>
      </c>
      <c r="F2964" s="2">
        <v>180</v>
      </c>
    </row>
    <row r="2965" spans="1:6">
      <c r="A2965" s="1">
        <v>43775</v>
      </c>
      <c r="B2965" t="s">
        <v>3111</v>
      </c>
      <c r="C2965" t="s">
        <v>223</v>
      </c>
      <c r="D2965" t="s">
        <v>139</v>
      </c>
      <c r="E2965" t="s">
        <v>153</v>
      </c>
      <c r="F2965" s="2">
        <v>80</v>
      </c>
    </row>
    <row r="2966" spans="1:6">
      <c r="A2966" s="1">
        <v>43775</v>
      </c>
      <c r="B2966" t="s">
        <v>3112</v>
      </c>
      <c r="C2966" t="s">
        <v>164</v>
      </c>
      <c r="D2966" t="s">
        <v>133</v>
      </c>
      <c r="E2966" t="s">
        <v>131</v>
      </c>
      <c r="F2966" s="2">
        <v>30</v>
      </c>
    </row>
    <row r="2967" spans="1:6">
      <c r="A2967" s="1">
        <v>43775</v>
      </c>
      <c r="B2967" t="s">
        <v>3113</v>
      </c>
      <c r="C2967" t="s">
        <v>143</v>
      </c>
      <c r="D2967" t="s">
        <v>141</v>
      </c>
      <c r="E2967" t="s">
        <v>153</v>
      </c>
      <c r="F2967" s="2">
        <v>180</v>
      </c>
    </row>
    <row r="2968" spans="1:6">
      <c r="A2968" s="1">
        <v>43775</v>
      </c>
      <c r="B2968" t="s">
        <v>3114</v>
      </c>
      <c r="C2968" t="s">
        <v>189</v>
      </c>
      <c r="D2968" t="s">
        <v>141</v>
      </c>
      <c r="E2968" t="s">
        <v>127</v>
      </c>
      <c r="F2968" s="2">
        <v>180</v>
      </c>
    </row>
    <row r="2969" spans="1:6">
      <c r="A2969" s="1">
        <v>43775</v>
      </c>
      <c r="B2969" t="s">
        <v>3115</v>
      </c>
      <c r="C2969" t="s">
        <v>167</v>
      </c>
      <c r="D2969" t="s">
        <v>130</v>
      </c>
      <c r="E2969" t="s">
        <v>131</v>
      </c>
      <c r="F2969" s="2">
        <v>100</v>
      </c>
    </row>
    <row r="2970" spans="1:6">
      <c r="A2970" s="1">
        <v>43776</v>
      </c>
      <c r="B2970" t="s">
        <v>3116</v>
      </c>
      <c r="C2970" t="s">
        <v>148</v>
      </c>
      <c r="D2970" t="s">
        <v>120</v>
      </c>
      <c r="E2970" t="s">
        <v>153</v>
      </c>
      <c r="F2970" s="2">
        <v>90</v>
      </c>
    </row>
    <row r="2971" spans="1:6">
      <c r="A2971" s="1">
        <v>43776</v>
      </c>
      <c r="B2971" t="s">
        <v>3117</v>
      </c>
      <c r="C2971" t="s">
        <v>167</v>
      </c>
      <c r="D2971" t="s">
        <v>159</v>
      </c>
      <c r="E2971" t="s">
        <v>134</v>
      </c>
      <c r="F2971" s="2">
        <v>150</v>
      </c>
    </row>
    <row r="2972" spans="1:6">
      <c r="A2972" s="1">
        <v>43776</v>
      </c>
      <c r="B2972" t="s">
        <v>3118</v>
      </c>
      <c r="C2972" t="s">
        <v>152</v>
      </c>
      <c r="D2972" t="s">
        <v>141</v>
      </c>
      <c r="E2972" t="s">
        <v>127</v>
      </c>
      <c r="F2972" s="2">
        <v>180</v>
      </c>
    </row>
    <row r="2973" spans="1:6">
      <c r="A2973" s="1">
        <v>43776</v>
      </c>
      <c r="B2973" t="s">
        <v>3119</v>
      </c>
      <c r="C2973" t="s">
        <v>187</v>
      </c>
      <c r="D2973" t="s">
        <v>120</v>
      </c>
      <c r="E2973" t="s">
        <v>134</v>
      </c>
      <c r="F2973" s="2">
        <v>90</v>
      </c>
    </row>
    <row r="2974" spans="1:6">
      <c r="A2974" s="1">
        <v>43776</v>
      </c>
      <c r="B2974" t="s">
        <v>3120</v>
      </c>
      <c r="C2974" t="s">
        <v>187</v>
      </c>
      <c r="D2974" t="s">
        <v>126</v>
      </c>
      <c r="E2974" t="s">
        <v>131</v>
      </c>
      <c r="F2974" s="2">
        <v>160</v>
      </c>
    </row>
    <row r="2975" spans="1:6">
      <c r="A2975" s="1">
        <v>43776</v>
      </c>
      <c r="B2975" t="s">
        <v>3121</v>
      </c>
      <c r="C2975" t="s">
        <v>145</v>
      </c>
      <c r="D2975" t="s">
        <v>139</v>
      </c>
      <c r="E2975" t="s">
        <v>153</v>
      </c>
      <c r="F2975" s="2">
        <v>80</v>
      </c>
    </row>
    <row r="2976" spans="1:6">
      <c r="A2976" s="1">
        <v>43777</v>
      </c>
      <c r="B2976" t="s">
        <v>3122</v>
      </c>
      <c r="C2976" t="s">
        <v>164</v>
      </c>
      <c r="D2976" t="s">
        <v>126</v>
      </c>
      <c r="E2976" t="s">
        <v>121</v>
      </c>
      <c r="F2976" s="2">
        <v>160</v>
      </c>
    </row>
    <row r="2977" spans="1:6">
      <c r="A2977" s="1">
        <v>43777</v>
      </c>
      <c r="B2977" t="s">
        <v>3123</v>
      </c>
      <c r="C2977" t="s">
        <v>129</v>
      </c>
      <c r="D2977" t="s">
        <v>139</v>
      </c>
      <c r="E2977" t="s">
        <v>121</v>
      </c>
      <c r="F2977" s="2">
        <v>80</v>
      </c>
    </row>
    <row r="2978" spans="1:6">
      <c r="A2978" s="1">
        <v>43777</v>
      </c>
      <c r="B2978" t="s">
        <v>3124</v>
      </c>
      <c r="C2978" t="s">
        <v>167</v>
      </c>
      <c r="D2978" t="s">
        <v>146</v>
      </c>
      <c r="E2978" t="s">
        <v>127</v>
      </c>
      <c r="F2978" s="2">
        <v>50</v>
      </c>
    </row>
    <row r="2979" spans="1:6">
      <c r="A2979" s="1">
        <v>43777</v>
      </c>
      <c r="B2979" t="s">
        <v>3125</v>
      </c>
      <c r="C2979" t="s">
        <v>164</v>
      </c>
      <c r="D2979" t="s">
        <v>126</v>
      </c>
      <c r="E2979" t="s">
        <v>134</v>
      </c>
      <c r="F2979" s="2">
        <v>160</v>
      </c>
    </row>
    <row r="2980" spans="1:6">
      <c r="A2980" s="1">
        <v>43777</v>
      </c>
      <c r="B2980" t="s">
        <v>3126</v>
      </c>
      <c r="C2980" t="s">
        <v>152</v>
      </c>
      <c r="D2980" t="s">
        <v>133</v>
      </c>
      <c r="E2980" t="s">
        <v>134</v>
      </c>
      <c r="F2980" s="2">
        <v>30</v>
      </c>
    </row>
    <row r="2981" spans="1:6">
      <c r="A2981" s="1">
        <v>43777</v>
      </c>
      <c r="B2981" t="s">
        <v>3127</v>
      </c>
      <c r="C2981" t="s">
        <v>138</v>
      </c>
      <c r="D2981" t="s">
        <v>133</v>
      </c>
      <c r="E2981" t="s">
        <v>153</v>
      </c>
      <c r="F2981" s="2">
        <v>30</v>
      </c>
    </row>
    <row r="2982" spans="1:6">
      <c r="A2982" s="1">
        <v>43777</v>
      </c>
      <c r="B2982" t="s">
        <v>3128</v>
      </c>
      <c r="C2982" t="s">
        <v>148</v>
      </c>
      <c r="D2982" t="s">
        <v>120</v>
      </c>
      <c r="E2982" t="s">
        <v>134</v>
      </c>
      <c r="F2982" s="2">
        <v>90</v>
      </c>
    </row>
    <row r="2983" spans="1:6">
      <c r="A2983" s="1">
        <v>43777</v>
      </c>
      <c r="B2983" t="s">
        <v>3129</v>
      </c>
      <c r="C2983" t="s">
        <v>187</v>
      </c>
      <c r="D2983" t="s">
        <v>126</v>
      </c>
      <c r="E2983" t="s">
        <v>121</v>
      </c>
      <c r="F2983" s="2">
        <v>160</v>
      </c>
    </row>
    <row r="2984" spans="1:6">
      <c r="A2984" s="1">
        <v>43777</v>
      </c>
      <c r="B2984" t="s">
        <v>3130</v>
      </c>
      <c r="C2984" t="s">
        <v>152</v>
      </c>
      <c r="D2984" t="s">
        <v>159</v>
      </c>
      <c r="E2984" t="s">
        <v>153</v>
      </c>
      <c r="F2984" s="2">
        <v>150</v>
      </c>
    </row>
    <row r="2985" spans="1:6">
      <c r="A2985" s="1">
        <v>43777</v>
      </c>
      <c r="B2985" t="s">
        <v>3131</v>
      </c>
      <c r="C2985" t="s">
        <v>223</v>
      </c>
      <c r="D2985" t="s">
        <v>146</v>
      </c>
      <c r="E2985" t="s">
        <v>131</v>
      </c>
      <c r="F2985" s="2">
        <v>50</v>
      </c>
    </row>
    <row r="2986" spans="1:6">
      <c r="A2986" s="1">
        <v>43778</v>
      </c>
      <c r="B2986" t="s">
        <v>3132</v>
      </c>
      <c r="C2986" t="s">
        <v>143</v>
      </c>
      <c r="D2986" t="s">
        <v>141</v>
      </c>
      <c r="E2986" t="s">
        <v>134</v>
      </c>
      <c r="F2986" s="2">
        <v>180</v>
      </c>
    </row>
    <row r="2987" spans="1:6">
      <c r="A2987" s="1">
        <v>43778</v>
      </c>
      <c r="B2987" t="s">
        <v>3133</v>
      </c>
      <c r="C2987" t="s">
        <v>189</v>
      </c>
      <c r="D2987" t="s">
        <v>133</v>
      </c>
      <c r="E2987" t="s">
        <v>127</v>
      </c>
      <c r="F2987" s="2">
        <v>30</v>
      </c>
    </row>
    <row r="2988" spans="1:6">
      <c r="A2988" s="1">
        <v>43778</v>
      </c>
      <c r="B2988" t="s">
        <v>3134</v>
      </c>
      <c r="C2988" t="s">
        <v>143</v>
      </c>
      <c r="D2988" t="s">
        <v>146</v>
      </c>
      <c r="E2988" t="s">
        <v>131</v>
      </c>
      <c r="F2988" s="2">
        <v>50</v>
      </c>
    </row>
    <row r="2989" spans="1:6">
      <c r="A2989" s="1">
        <v>43778</v>
      </c>
      <c r="B2989" t="s">
        <v>3135</v>
      </c>
      <c r="C2989" t="s">
        <v>164</v>
      </c>
      <c r="D2989" t="s">
        <v>133</v>
      </c>
      <c r="E2989" t="s">
        <v>127</v>
      </c>
      <c r="F2989" s="2">
        <v>30</v>
      </c>
    </row>
    <row r="2990" spans="1:6">
      <c r="A2990" s="1">
        <v>43778</v>
      </c>
      <c r="B2990" t="s">
        <v>3136</v>
      </c>
      <c r="C2990" t="s">
        <v>125</v>
      </c>
      <c r="D2990" t="s">
        <v>159</v>
      </c>
      <c r="E2990" t="s">
        <v>131</v>
      </c>
      <c r="F2990" s="2">
        <v>150</v>
      </c>
    </row>
    <row r="2991" spans="1:6">
      <c r="A2991" s="1">
        <v>43778</v>
      </c>
      <c r="B2991" t="s">
        <v>3137</v>
      </c>
      <c r="C2991" t="s">
        <v>123</v>
      </c>
      <c r="D2991" t="s">
        <v>141</v>
      </c>
      <c r="E2991" t="s">
        <v>134</v>
      </c>
      <c r="F2991" s="2">
        <v>180</v>
      </c>
    </row>
    <row r="2992" spans="1:6">
      <c r="A2992" s="1">
        <v>43778</v>
      </c>
      <c r="B2992" t="s">
        <v>3138</v>
      </c>
      <c r="C2992" t="s">
        <v>123</v>
      </c>
      <c r="D2992" t="s">
        <v>159</v>
      </c>
      <c r="E2992" t="s">
        <v>153</v>
      </c>
      <c r="F2992" s="2">
        <v>150</v>
      </c>
    </row>
    <row r="2993" spans="1:6">
      <c r="A2993" s="1">
        <v>43778</v>
      </c>
      <c r="B2993" t="s">
        <v>3139</v>
      </c>
      <c r="C2993" t="s">
        <v>119</v>
      </c>
      <c r="D2993" t="s">
        <v>120</v>
      </c>
      <c r="E2993" t="s">
        <v>131</v>
      </c>
      <c r="F2993" s="2">
        <v>90</v>
      </c>
    </row>
    <row r="2994" spans="1:6">
      <c r="A2994" s="1">
        <v>43778</v>
      </c>
      <c r="B2994" t="s">
        <v>3140</v>
      </c>
      <c r="C2994" t="s">
        <v>223</v>
      </c>
      <c r="D2994" t="s">
        <v>146</v>
      </c>
      <c r="E2994" t="s">
        <v>121</v>
      </c>
      <c r="F2994" s="2">
        <v>50</v>
      </c>
    </row>
    <row r="2995" spans="1:6">
      <c r="A2995" s="1">
        <v>43778</v>
      </c>
      <c r="B2995" t="s">
        <v>3141</v>
      </c>
      <c r="C2995" t="s">
        <v>182</v>
      </c>
      <c r="D2995" t="s">
        <v>139</v>
      </c>
      <c r="E2995" t="s">
        <v>127</v>
      </c>
      <c r="F2995" s="2">
        <v>80</v>
      </c>
    </row>
    <row r="2996" spans="1:6">
      <c r="A2996" s="1">
        <v>43778</v>
      </c>
      <c r="B2996" t="s">
        <v>3142</v>
      </c>
      <c r="C2996" t="s">
        <v>157</v>
      </c>
      <c r="D2996" t="s">
        <v>120</v>
      </c>
      <c r="E2996" t="s">
        <v>153</v>
      </c>
      <c r="F2996" s="2">
        <v>90</v>
      </c>
    </row>
    <row r="2997" spans="1:6">
      <c r="A2997" s="1">
        <v>43778</v>
      </c>
      <c r="B2997" t="s">
        <v>3143</v>
      </c>
      <c r="C2997" t="s">
        <v>182</v>
      </c>
      <c r="D2997" t="s">
        <v>130</v>
      </c>
      <c r="E2997" t="s">
        <v>134</v>
      </c>
      <c r="F2997" s="2">
        <v>100</v>
      </c>
    </row>
    <row r="2998" spans="1:6">
      <c r="A2998" s="1">
        <v>43778</v>
      </c>
      <c r="B2998" t="s">
        <v>3144</v>
      </c>
      <c r="C2998" t="s">
        <v>182</v>
      </c>
      <c r="D2998" t="s">
        <v>159</v>
      </c>
      <c r="E2998" t="s">
        <v>131</v>
      </c>
      <c r="F2998" s="2">
        <v>150</v>
      </c>
    </row>
    <row r="2999" spans="1:6">
      <c r="A2999" s="1">
        <v>43778</v>
      </c>
      <c r="B2999" t="s">
        <v>3145</v>
      </c>
      <c r="C2999" t="s">
        <v>157</v>
      </c>
      <c r="D2999" t="s">
        <v>126</v>
      </c>
      <c r="E2999" t="s">
        <v>134</v>
      </c>
      <c r="F2999" s="2">
        <v>160</v>
      </c>
    </row>
    <row r="3000" spans="1:6">
      <c r="A3000" s="1">
        <v>43778</v>
      </c>
      <c r="B3000" t="s">
        <v>3146</v>
      </c>
      <c r="C3000" t="s">
        <v>145</v>
      </c>
      <c r="D3000" t="s">
        <v>159</v>
      </c>
      <c r="E3000" t="s">
        <v>131</v>
      </c>
      <c r="F3000" s="2">
        <v>150</v>
      </c>
    </row>
    <row r="3001" spans="1:6">
      <c r="A3001" s="1">
        <v>43778</v>
      </c>
      <c r="B3001" t="s">
        <v>3147</v>
      </c>
      <c r="C3001" t="s">
        <v>187</v>
      </c>
      <c r="D3001" t="s">
        <v>139</v>
      </c>
      <c r="E3001" t="s">
        <v>121</v>
      </c>
      <c r="F3001" s="2">
        <v>80</v>
      </c>
    </row>
    <row r="3002" spans="1:6">
      <c r="A3002" s="1">
        <v>43778</v>
      </c>
      <c r="B3002" t="s">
        <v>3148</v>
      </c>
      <c r="C3002" t="s">
        <v>164</v>
      </c>
      <c r="D3002" t="s">
        <v>126</v>
      </c>
      <c r="E3002" t="s">
        <v>153</v>
      </c>
      <c r="F3002" s="2">
        <v>160</v>
      </c>
    </row>
    <row r="3003" spans="1:6">
      <c r="A3003" s="1">
        <v>43779</v>
      </c>
      <c r="B3003" t="s">
        <v>3149</v>
      </c>
      <c r="C3003" t="s">
        <v>145</v>
      </c>
      <c r="D3003" t="s">
        <v>139</v>
      </c>
      <c r="E3003" t="s">
        <v>153</v>
      </c>
      <c r="F3003" s="2">
        <v>80</v>
      </c>
    </row>
    <row r="3004" spans="1:6">
      <c r="A3004" s="1">
        <v>43779</v>
      </c>
      <c r="B3004" t="s">
        <v>3150</v>
      </c>
      <c r="C3004" t="s">
        <v>136</v>
      </c>
      <c r="D3004" t="s">
        <v>141</v>
      </c>
      <c r="E3004" t="s">
        <v>121</v>
      </c>
      <c r="F3004" s="2">
        <v>180</v>
      </c>
    </row>
    <row r="3005" spans="1:6">
      <c r="A3005" s="1">
        <v>43779</v>
      </c>
      <c r="B3005" t="s">
        <v>3151</v>
      </c>
      <c r="C3005" t="s">
        <v>152</v>
      </c>
      <c r="D3005" t="s">
        <v>126</v>
      </c>
      <c r="E3005" t="s">
        <v>121</v>
      </c>
      <c r="F3005" s="2">
        <v>160</v>
      </c>
    </row>
    <row r="3006" spans="1:6">
      <c r="A3006" s="1">
        <v>43779</v>
      </c>
      <c r="B3006" t="s">
        <v>3152</v>
      </c>
      <c r="C3006" t="s">
        <v>157</v>
      </c>
      <c r="D3006" t="s">
        <v>139</v>
      </c>
      <c r="E3006" t="s">
        <v>131</v>
      </c>
      <c r="F3006" s="2">
        <v>80</v>
      </c>
    </row>
    <row r="3007" spans="1:6">
      <c r="A3007" s="1">
        <v>43779</v>
      </c>
      <c r="B3007" t="s">
        <v>3153</v>
      </c>
      <c r="C3007" t="s">
        <v>143</v>
      </c>
      <c r="D3007" t="s">
        <v>126</v>
      </c>
      <c r="E3007" t="s">
        <v>134</v>
      </c>
      <c r="F3007" s="2">
        <v>160</v>
      </c>
    </row>
    <row r="3008" spans="1:6">
      <c r="A3008" s="1">
        <v>43779</v>
      </c>
      <c r="B3008" t="s">
        <v>3154</v>
      </c>
      <c r="C3008" t="s">
        <v>123</v>
      </c>
      <c r="D3008" t="s">
        <v>126</v>
      </c>
      <c r="E3008" t="s">
        <v>153</v>
      </c>
      <c r="F3008" s="2">
        <v>160</v>
      </c>
    </row>
    <row r="3009" spans="1:6">
      <c r="A3009" s="1">
        <v>43779</v>
      </c>
      <c r="B3009" t="s">
        <v>3155</v>
      </c>
      <c r="C3009" t="s">
        <v>148</v>
      </c>
      <c r="D3009" t="s">
        <v>120</v>
      </c>
      <c r="E3009" t="s">
        <v>121</v>
      </c>
      <c r="F3009" s="2">
        <v>90</v>
      </c>
    </row>
    <row r="3010" spans="1:6">
      <c r="A3010" s="1">
        <v>43779</v>
      </c>
      <c r="B3010" t="s">
        <v>3156</v>
      </c>
      <c r="C3010" t="s">
        <v>119</v>
      </c>
      <c r="D3010" t="s">
        <v>133</v>
      </c>
      <c r="E3010" t="s">
        <v>131</v>
      </c>
      <c r="F3010" s="2">
        <v>30</v>
      </c>
    </row>
    <row r="3011" spans="1:6">
      <c r="A3011" s="1">
        <v>43779</v>
      </c>
      <c r="B3011" t="s">
        <v>3157</v>
      </c>
      <c r="C3011" t="s">
        <v>148</v>
      </c>
      <c r="D3011" t="s">
        <v>139</v>
      </c>
      <c r="E3011" t="s">
        <v>127</v>
      </c>
      <c r="F3011" s="2">
        <v>80</v>
      </c>
    </row>
    <row r="3012" spans="1:6">
      <c r="A3012" s="1">
        <v>43779</v>
      </c>
      <c r="B3012" t="s">
        <v>3158</v>
      </c>
      <c r="C3012" t="s">
        <v>143</v>
      </c>
      <c r="D3012" t="s">
        <v>146</v>
      </c>
      <c r="E3012" t="s">
        <v>153</v>
      </c>
      <c r="F3012" s="2">
        <v>50</v>
      </c>
    </row>
    <row r="3013" spans="1:6">
      <c r="A3013" s="1">
        <v>43779</v>
      </c>
      <c r="B3013" t="s">
        <v>3159</v>
      </c>
      <c r="C3013" t="s">
        <v>129</v>
      </c>
      <c r="D3013" t="s">
        <v>146</v>
      </c>
      <c r="E3013" t="s">
        <v>153</v>
      </c>
      <c r="F3013" s="2">
        <v>50</v>
      </c>
    </row>
    <row r="3014" spans="1:6">
      <c r="A3014" s="1">
        <v>43780</v>
      </c>
      <c r="B3014" t="s">
        <v>3160</v>
      </c>
      <c r="C3014" t="s">
        <v>189</v>
      </c>
      <c r="D3014" t="s">
        <v>126</v>
      </c>
      <c r="E3014" t="s">
        <v>134</v>
      </c>
      <c r="F3014" s="2">
        <v>160</v>
      </c>
    </row>
    <row r="3015" spans="1:6">
      <c r="A3015" s="1">
        <v>43780</v>
      </c>
      <c r="B3015" t="s">
        <v>3161</v>
      </c>
      <c r="C3015" t="s">
        <v>138</v>
      </c>
      <c r="D3015" t="s">
        <v>133</v>
      </c>
      <c r="E3015" t="s">
        <v>121</v>
      </c>
      <c r="F3015" s="2">
        <v>30</v>
      </c>
    </row>
    <row r="3016" spans="1:6">
      <c r="A3016" s="1">
        <v>43780</v>
      </c>
      <c r="B3016" t="s">
        <v>3162</v>
      </c>
      <c r="C3016" t="s">
        <v>119</v>
      </c>
      <c r="D3016" t="s">
        <v>159</v>
      </c>
      <c r="E3016" t="s">
        <v>153</v>
      </c>
      <c r="F3016" s="2">
        <v>150</v>
      </c>
    </row>
    <row r="3017" spans="1:6">
      <c r="A3017" s="1">
        <v>43780</v>
      </c>
      <c r="B3017" t="s">
        <v>3163</v>
      </c>
      <c r="C3017" t="s">
        <v>119</v>
      </c>
      <c r="D3017" t="s">
        <v>120</v>
      </c>
      <c r="E3017" t="s">
        <v>134</v>
      </c>
      <c r="F3017" s="2">
        <v>90</v>
      </c>
    </row>
    <row r="3018" spans="1:6">
      <c r="A3018" s="1">
        <v>43780</v>
      </c>
      <c r="B3018" t="s">
        <v>3164</v>
      </c>
      <c r="C3018" t="s">
        <v>123</v>
      </c>
      <c r="D3018" t="s">
        <v>141</v>
      </c>
      <c r="E3018" t="s">
        <v>131</v>
      </c>
      <c r="F3018" s="2">
        <v>180</v>
      </c>
    </row>
    <row r="3019" spans="1:6">
      <c r="A3019" s="1">
        <v>43780</v>
      </c>
      <c r="B3019" t="s">
        <v>3165</v>
      </c>
      <c r="C3019" t="s">
        <v>152</v>
      </c>
      <c r="D3019" t="s">
        <v>133</v>
      </c>
      <c r="E3019" t="s">
        <v>153</v>
      </c>
      <c r="F3019" s="2">
        <v>30</v>
      </c>
    </row>
    <row r="3020" spans="1:6">
      <c r="A3020" s="1">
        <v>43780</v>
      </c>
      <c r="B3020" t="s">
        <v>3166</v>
      </c>
      <c r="C3020" t="s">
        <v>125</v>
      </c>
      <c r="D3020" t="s">
        <v>120</v>
      </c>
      <c r="E3020" t="s">
        <v>121</v>
      </c>
      <c r="F3020" s="2">
        <v>90</v>
      </c>
    </row>
    <row r="3021" spans="1:6">
      <c r="A3021" s="1">
        <v>43780</v>
      </c>
      <c r="B3021" t="s">
        <v>3167</v>
      </c>
      <c r="C3021" t="s">
        <v>123</v>
      </c>
      <c r="D3021" t="s">
        <v>130</v>
      </c>
      <c r="E3021" t="s">
        <v>121</v>
      </c>
      <c r="F3021" s="2">
        <v>100</v>
      </c>
    </row>
    <row r="3022" spans="1:6">
      <c r="A3022" s="1">
        <v>43780</v>
      </c>
      <c r="B3022" t="s">
        <v>3168</v>
      </c>
      <c r="C3022" t="s">
        <v>148</v>
      </c>
      <c r="D3022" t="s">
        <v>146</v>
      </c>
      <c r="E3022" t="s">
        <v>153</v>
      </c>
      <c r="F3022" s="2">
        <v>50</v>
      </c>
    </row>
    <row r="3023" spans="1:6">
      <c r="A3023" s="1">
        <v>43780</v>
      </c>
      <c r="B3023" t="s">
        <v>3169</v>
      </c>
      <c r="C3023" t="s">
        <v>152</v>
      </c>
      <c r="D3023" t="s">
        <v>139</v>
      </c>
      <c r="E3023" t="s">
        <v>131</v>
      </c>
      <c r="F3023" s="2">
        <v>80</v>
      </c>
    </row>
    <row r="3024" spans="1:6">
      <c r="A3024" s="1">
        <v>43780</v>
      </c>
      <c r="B3024" t="s">
        <v>3170</v>
      </c>
      <c r="C3024" t="s">
        <v>143</v>
      </c>
      <c r="D3024" t="s">
        <v>126</v>
      </c>
      <c r="E3024" t="s">
        <v>121</v>
      </c>
      <c r="F3024" s="2">
        <v>160</v>
      </c>
    </row>
    <row r="3025" spans="1:6">
      <c r="A3025" s="1">
        <v>43780</v>
      </c>
      <c r="B3025" t="s">
        <v>3171</v>
      </c>
      <c r="C3025" t="s">
        <v>164</v>
      </c>
      <c r="D3025" t="s">
        <v>141</v>
      </c>
      <c r="E3025" t="s">
        <v>121</v>
      </c>
      <c r="F3025" s="2">
        <v>180</v>
      </c>
    </row>
    <row r="3026" spans="1:6">
      <c r="A3026" s="1">
        <v>43780</v>
      </c>
      <c r="B3026" t="s">
        <v>3172</v>
      </c>
      <c r="C3026" t="s">
        <v>157</v>
      </c>
      <c r="D3026" t="s">
        <v>126</v>
      </c>
      <c r="E3026" t="s">
        <v>127</v>
      </c>
      <c r="F3026" s="2">
        <v>160</v>
      </c>
    </row>
    <row r="3027" spans="1:6">
      <c r="A3027" s="1">
        <v>43781</v>
      </c>
      <c r="B3027" t="s">
        <v>3173</v>
      </c>
      <c r="C3027" t="s">
        <v>152</v>
      </c>
      <c r="D3027" t="s">
        <v>146</v>
      </c>
      <c r="E3027" t="s">
        <v>127</v>
      </c>
      <c r="F3027" s="2">
        <v>50</v>
      </c>
    </row>
    <row r="3028" spans="1:6">
      <c r="A3028" s="1">
        <v>43781</v>
      </c>
      <c r="B3028" t="s">
        <v>3174</v>
      </c>
      <c r="C3028" t="s">
        <v>145</v>
      </c>
      <c r="D3028" t="s">
        <v>141</v>
      </c>
      <c r="E3028" t="s">
        <v>134</v>
      </c>
      <c r="F3028" s="2">
        <v>180</v>
      </c>
    </row>
    <row r="3029" spans="1:6">
      <c r="A3029" s="1">
        <v>43781</v>
      </c>
      <c r="B3029" t="s">
        <v>3175</v>
      </c>
      <c r="C3029" t="s">
        <v>129</v>
      </c>
      <c r="D3029" t="s">
        <v>126</v>
      </c>
      <c r="E3029" t="s">
        <v>131</v>
      </c>
      <c r="F3029" s="2">
        <v>160</v>
      </c>
    </row>
    <row r="3030" spans="1:6">
      <c r="A3030" s="1">
        <v>43781</v>
      </c>
      <c r="B3030" t="s">
        <v>3176</v>
      </c>
      <c r="C3030" t="s">
        <v>119</v>
      </c>
      <c r="D3030" t="s">
        <v>146</v>
      </c>
      <c r="E3030" t="s">
        <v>121</v>
      </c>
      <c r="F3030" s="2">
        <v>50</v>
      </c>
    </row>
    <row r="3031" spans="1:6">
      <c r="A3031" s="1">
        <v>43781</v>
      </c>
      <c r="B3031" t="s">
        <v>3177</v>
      </c>
      <c r="C3031" t="s">
        <v>143</v>
      </c>
      <c r="D3031" t="s">
        <v>120</v>
      </c>
      <c r="E3031" t="s">
        <v>153</v>
      </c>
      <c r="F3031" s="2">
        <v>90</v>
      </c>
    </row>
    <row r="3032" spans="1:6">
      <c r="A3032" s="1">
        <v>43781</v>
      </c>
      <c r="B3032" t="s">
        <v>3178</v>
      </c>
      <c r="C3032" t="s">
        <v>125</v>
      </c>
      <c r="D3032" t="s">
        <v>141</v>
      </c>
      <c r="E3032" t="s">
        <v>134</v>
      </c>
      <c r="F3032" s="2">
        <v>180</v>
      </c>
    </row>
    <row r="3033" spans="1:6">
      <c r="A3033" s="1">
        <v>43781</v>
      </c>
      <c r="B3033" t="s">
        <v>3179</v>
      </c>
      <c r="C3033" t="s">
        <v>136</v>
      </c>
      <c r="D3033" t="s">
        <v>133</v>
      </c>
      <c r="E3033" t="s">
        <v>134</v>
      </c>
      <c r="F3033" s="2">
        <v>30</v>
      </c>
    </row>
    <row r="3034" spans="1:6">
      <c r="A3034" s="1">
        <v>43781</v>
      </c>
      <c r="B3034" t="s">
        <v>3180</v>
      </c>
      <c r="C3034" t="s">
        <v>148</v>
      </c>
      <c r="D3034" t="s">
        <v>146</v>
      </c>
      <c r="E3034" t="s">
        <v>134</v>
      </c>
      <c r="F3034" s="2">
        <v>50</v>
      </c>
    </row>
    <row r="3035" spans="1:6">
      <c r="A3035" s="1">
        <v>43781</v>
      </c>
      <c r="B3035" t="s">
        <v>3181</v>
      </c>
      <c r="C3035" t="s">
        <v>119</v>
      </c>
      <c r="D3035" t="s">
        <v>130</v>
      </c>
      <c r="E3035" t="s">
        <v>127</v>
      </c>
      <c r="F3035" s="2">
        <v>100</v>
      </c>
    </row>
    <row r="3036" spans="1:6">
      <c r="A3036" s="1">
        <v>43782</v>
      </c>
      <c r="B3036" t="s">
        <v>3182</v>
      </c>
      <c r="C3036" t="s">
        <v>152</v>
      </c>
      <c r="D3036" t="s">
        <v>141</v>
      </c>
      <c r="E3036" t="s">
        <v>131</v>
      </c>
      <c r="F3036" s="2">
        <v>180</v>
      </c>
    </row>
    <row r="3037" spans="1:6">
      <c r="A3037" s="1">
        <v>43782</v>
      </c>
      <c r="B3037" t="s">
        <v>3183</v>
      </c>
      <c r="C3037" t="s">
        <v>182</v>
      </c>
      <c r="D3037" t="s">
        <v>139</v>
      </c>
      <c r="E3037" t="s">
        <v>127</v>
      </c>
      <c r="F3037" s="2">
        <v>80</v>
      </c>
    </row>
    <row r="3038" spans="1:6">
      <c r="A3038" s="1">
        <v>43782</v>
      </c>
      <c r="B3038" t="s">
        <v>3184</v>
      </c>
      <c r="C3038" t="s">
        <v>143</v>
      </c>
      <c r="D3038" t="s">
        <v>139</v>
      </c>
      <c r="E3038" t="s">
        <v>153</v>
      </c>
      <c r="F3038" s="2">
        <v>80</v>
      </c>
    </row>
    <row r="3039" spans="1:6">
      <c r="A3039" s="1">
        <v>43782</v>
      </c>
      <c r="B3039" t="s">
        <v>3185</v>
      </c>
      <c r="C3039" t="s">
        <v>223</v>
      </c>
      <c r="D3039" t="s">
        <v>159</v>
      </c>
      <c r="E3039" t="s">
        <v>121</v>
      </c>
      <c r="F3039" s="2">
        <v>150</v>
      </c>
    </row>
    <row r="3040" spans="1:6">
      <c r="A3040" s="1">
        <v>43782</v>
      </c>
      <c r="B3040" t="s">
        <v>3186</v>
      </c>
      <c r="C3040" t="s">
        <v>143</v>
      </c>
      <c r="D3040" t="s">
        <v>159</v>
      </c>
      <c r="E3040" t="s">
        <v>121</v>
      </c>
      <c r="F3040" s="2">
        <v>150</v>
      </c>
    </row>
    <row r="3041" spans="1:6">
      <c r="A3041" s="1">
        <v>43782</v>
      </c>
      <c r="B3041" t="s">
        <v>3187</v>
      </c>
      <c r="C3041" t="s">
        <v>164</v>
      </c>
      <c r="D3041" t="s">
        <v>139</v>
      </c>
      <c r="E3041" t="s">
        <v>153</v>
      </c>
      <c r="F3041" s="2">
        <v>80</v>
      </c>
    </row>
    <row r="3042" spans="1:6">
      <c r="A3042" s="1">
        <v>43782</v>
      </c>
      <c r="B3042" t="s">
        <v>3188</v>
      </c>
      <c r="C3042" t="s">
        <v>164</v>
      </c>
      <c r="D3042" t="s">
        <v>139</v>
      </c>
      <c r="E3042" t="s">
        <v>121</v>
      </c>
      <c r="F3042" s="2">
        <v>80</v>
      </c>
    </row>
    <row r="3043" spans="1:6">
      <c r="A3043" s="1">
        <v>43782</v>
      </c>
      <c r="B3043" t="s">
        <v>3189</v>
      </c>
      <c r="C3043" t="s">
        <v>129</v>
      </c>
      <c r="D3043" t="s">
        <v>120</v>
      </c>
      <c r="E3043" t="s">
        <v>127</v>
      </c>
      <c r="F3043" s="2">
        <v>90</v>
      </c>
    </row>
    <row r="3044" spans="1:6">
      <c r="A3044" s="1">
        <v>43782</v>
      </c>
      <c r="B3044" t="s">
        <v>3190</v>
      </c>
      <c r="C3044" t="s">
        <v>187</v>
      </c>
      <c r="D3044" t="s">
        <v>141</v>
      </c>
      <c r="E3044" t="s">
        <v>127</v>
      </c>
      <c r="F3044" s="2">
        <v>180</v>
      </c>
    </row>
    <row r="3045" spans="1:6">
      <c r="A3045" s="1">
        <v>43782</v>
      </c>
      <c r="B3045" t="s">
        <v>3191</v>
      </c>
      <c r="C3045" t="s">
        <v>182</v>
      </c>
      <c r="D3045" t="s">
        <v>141</v>
      </c>
      <c r="E3045" t="s">
        <v>153</v>
      </c>
      <c r="F3045" s="2">
        <v>180</v>
      </c>
    </row>
    <row r="3046" spans="1:6">
      <c r="A3046" s="1">
        <v>43782</v>
      </c>
      <c r="B3046" t="s">
        <v>3192</v>
      </c>
      <c r="C3046" t="s">
        <v>123</v>
      </c>
      <c r="D3046" t="s">
        <v>133</v>
      </c>
      <c r="E3046" t="s">
        <v>134</v>
      </c>
      <c r="F3046" s="2">
        <v>30</v>
      </c>
    </row>
    <row r="3047" spans="1:6">
      <c r="A3047" s="1">
        <v>43783</v>
      </c>
      <c r="B3047" t="s">
        <v>3193</v>
      </c>
      <c r="C3047" t="s">
        <v>152</v>
      </c>
      <c r="D3047" t="s">
        <v>139</v>
      </c>
      <c r="E3047" t="s">
        <v>127</v>
      </c>
      <c r="F3047" s="2">
        <v>80</v>
      </c>
    </row>
    <row r="3048" spans="1:6">
      <c r="A3048" s="1">
        <v>43783</v>
      </c>
      <c r="B3048" t="s">
        <v>3194</v>
      </c>
      <c r="C3048" t="s">
        <v>187</v>
      </c>
      <c r="D3048" t="s">
        <v>139</v>
      </c>
      <c r="E3048" t="s">
        <v>153</v>
      </c>
      <c r="F3048" s="2">
        <v>80</v>
      </c>
    </row>
    <row r="3049" spans="1:6">
      <c r="A3049" s="1">
        <v>43783</v>
      </c>
      <c r="B3049" t="s">
        <v>3195</v>
      </c>
      <c r="C3049" t="s">
        <v>182</v>
      </c>
      <c r="D3049" t="s">
        <v>139</v>
      </c>
      <c r="E3049" t="s">
        <v>127</v>
      </c>
      <c r="F3049" s="2">
        <v>80</v>
      </c>
    </row>
    <row r="3050" spans="1:6">
      <c r="A3050" s="1">
        <v>43783</v>
      </c>
      <c r="B3050" t="s">
        <v>3196</v>
      </c>
      <c r="C3050" t="s">
        <v>182</v>
      </c>
      <c r="D3050" t="s">
        <v>141</v>
      </c>
      <c r="E3050" t="s">
        <v>134</v>
      </c>
      <c r="F3050" s="2">
        <v>180</v>
      </c>
    </row>
    <row r="3051" spans="1:6">
      <c r="A3051" s="1">
        <v>43783</v>
      </c>
      <c r="B3051" t="s">
        <v>3197</v>
      </c>
      <c r="C3051" t="s">
        <v>152</v>
      </c>
      <c r="D3051" t="s">
        <v>126</v>
      </c>
      <c r="E3051" t="s">
        <v>121</v>
      </c>
      <c r="F3051" s="2">
        <v>160</v>
      </c>
    </row>
    <row r="3052" spans="1:6">
      <c r="A3052" s="1">
        <v>43783</v>
      </c>
      <c r="B3052" t="s">
        <v>3198</v>
      </c>
      <c r="C3052" t="s">
        <v>125</v>
      </c>
      <c r="D3052" t="s">
        <v>130</v>
      </c>
      <c r="E3052" t="s">
        <v>134</v>
      </c>
      <c r="F3052" s="2">
        <v>100</v>
      </c>
    </row>
    <row r="3053" spans="1:6">
      <c r="A3053" s="1">
        <v>43783</v>
      </c>
      <c r="B3053" t="s">
        <v>3199</v>
      </c>
      <c r="C3053" t="s">
        <v>143</v>
      </c>
      <c r="D3053" t="s">
        <v>159</v>
      </c>
      <c r="E3053" t="s">
        <v>127</v>
      </c>
      <c r="F3053" s="2">
        <v>150</v>
      </c>
    </row>
    <row r="3054" spans="1:6">
      <c r="A3054" s="1">
        <v>43783</v>
      </c>
      <c r="B3054" t="s">
        <v>3200</v>
      </c>
      <c r="C3054" t="s">
        <v>148</v>
      </c>
      <c r="D3054" t="s">
        <v>126</v>
      </c>
      <c r="E3054" t="s">
        <v>127</v>
      </c>
      <c r="F3054" s="2">
        <v>160</v>
      </c>
    </row>
    <row r="3055" spans="1:6">
      <c r="A3055" s="1">
        <v>43783</v>
      </c>
      <c r="B3055" t="s">
        <v>3201</v>
      </c>
      <c r="C3055" t="s">
        <v>119</v>
      </c>
      <c r="D3055" t="s">
        <v>120</v>
      </c>
      <c r="E3055" t="s">
        <v>127</v>
      </c>
      <c r="F3055" s="2">
        <v>90</v>
      </c>
    </row>
    <row r="3056" spans="1:6">
      <c r="A3056" s="1">
        <v>43783</v>
      </c>
      <c r="B3056" t="s">
        <v>3202</v>
      </c>
      <c r="C3056" t="s">
        <v>125</v>
      </c>
      <c r="D3056" t="s">
        <v>126</v>
      </c>
      <c r="E3056" t="s">
        <v>127</v>
      </c>
      <c r="F3056" s="2">
        <v>160</v>
      </c>
    </row>
    <row r="3057" spans="1:6">
      <c r="A3057" s="1">
        <v>43783</v>
      </c>
      <c r="B3057" t="s">
        <v>3203</v>
      </c>
      <c r="C3057" t="s">
        <v>182</v>
      </c>
      <c r="D3057" t="s">
        <v>139</v>
      </c>
      <c r="E3057" t="s">
        <v>153</v>
      </c>
      <c r="F3057" s="2">
        <v>80</v>
      </c>
    </row>
    <row r="3058" spans="1:6">
      <c r="A3058" s="1">
        <v>43783</v>
      </c>
      <c r="B3058" t="s">
        <v>3204</v>
      </c>
      <c r="C3058" t="s">
        <v>223</v>
      </c>
      <c r="D3058" t="s">
        <v>139</v>
      </c>
      <c r="E3058" t="s">
        <v>127</v>
      </c>
      <c r="F3058" s="2">
        <v>80</v>
      </c>
    </row>
    <row r="3059" spans="1:6">
      <c r="A3059" s="1">
        <v>43783</v>
      </c>
      <c r="B3059" t="s">
        <v>3205</v>
      </c>
      <c r="C3059" t="s">
        <v>167</v>
      </c>
      <c r="D3059" t="s">
        <v>120</v>
      </c>
      <c r="E3059" t="s">
        <v>121</v>
      </c>
      <c r="F3059" s="2">
        <v>90</v>
      </c>
    </row>
    <row r="3060" spans="1:6">
      <c r="A3060" s="1">
        <v>43783</v>
      </c>
      <c r="B3060" t="s">
        <v>3206</v>
      </c>
      <c r="C3060" t="s">
        <v>143</v>
      </c>
      <c r="D3060" t="s">
        <v>130</v>
      </c>
      <c r="E3060" t="s">
        <v>127</v>
      </c>
      <c r="F3060" s="2">
        <v>100</v>
      </c>
    </row>
    <row r="3061" spans="1:6">
      <c r="A3061" s="1">
        <v>43784</v>
      </c>
      <c r="B3061" t="s">
        <v>3207</v>
      </c>
      <c r="C3061" t="s">
        <v>187</v>
      </c>
      <c r="D3061" t="s">
        <v>146</v>
      </c>
      <c r="E3061" t="s">
        <v>121</v>
      </c>
      <c r="F3061" s="2">
        <v>50</v>
      </c>
    </row>
    <row r="3062" spans="1:6">
      <c r="A3062" s="1">
        <v>43784</v>
      </c>
      <c r="B3062" t="s">
        <v>3208</v>
      </c>
      <c r="C3062" t="s">
        <v>136</v>
      </c>
      <c r="D3062" t="s">
        <v>146</v>
      </c>
      <c r="E3062" t="s">
        <v>131</v>
      </c>
      <c r="F3062" s="2">
        <v>50</v>
      </c>
    </row>
    <row r="3063" spans="1:6">
      <c r="A3063" s="1">
        <v>43784</v>
      </c>
      <c r="B3063" t="s">
        <v>3209</v>
      </c>
      <c r="C3063" t="s">
        <v>189</v>
      </c>
      <c r="D3063" t="s">
        <v>130</v>
      </c>
      <c r="E3063" t="s">
        <v>127</v>
      </c>
      <c r="F3063" s="2">
        <v>100</v>
      </c>
    </row>
    <row r="3064" spans="1:6">
      <c r="A3064" s="1">
        <v>43784</v>
      </c>
      <c r="B3064" t="s">
        <v>3210</v>
      </c>
      <c r="C3064" t="s">
        <v>125</v>
      </c>
      <c r="D3064" t="s">
        <v>120</v>
      </c>
      <c r="E3064" t="s">
        <v>153</v>
      </c>
      <c r="F3064" s="2">
        <v>90</v>
      </c>
    </row>
    <row r="3065" spans="1:6">
      <c r="A3065" s="1">
        <v>43784</v>
      </c>
      <c r="B3065" t="s">
        <v>3211</v>
      </c>
      <c r="C3065" t="s">
        <v>187</v>
      </c>
      <c r="D3065" t="s">
        <v>159</v>
      </c>
      <c r="E3065" t="s">
        <v>131</v>
      </c>
      <c r="F3065" s="2">
        <v>150</v>
      </c>
    </row>
    <row r="3066" spans="1:6">
      <c r="A3066" s="1">
        <v>43784</v>
      </c>
      <c r="B3066" t="s">
        <v>3212</v>
      </c>
      <c r="C3066" t="s">
        <v>136</v>
      </c>
      <c r="D3066" t="s">
        <v>130</v>
      </c>
      <c r="E3066" t="s">
        <v>134</v>
      </c>
      <c r="F3066" s="2">
        <v>100</v>
      </c>
    </row>
    <row r="3067" spans="1:6">
      <c r="A3067" s="1">
        <v>43784</v>
      </c>
      <c r="B3067" t="s">
        <v>3213</v>
      </c>
      <c r="C3067" t="s">
        <v>145</v>
      </c>
      <c r="D3067" t="s">
        <v>130</v>
      </c>
      <c r="E3067" t="s">
        <v>134</v>
      </c>
      <c r="F3067" s="2">
        <v>100</v>
      </c>
    </row>
    <row r="3068" spans="1:6">
      <c r="A3068" s="1">
        <v>43784</v>
      </c>
      <c r="B3068" t="s">
        <v>3214</v>
      </c>
      <c r="C3068" t="s">
        <v>145</v>
      </c>
      <c r="D3068" t="s">
        <v>159</v>
      </c>
      <c r="E3068" t="s">
        <v>121</v>
      </c>
      <c r="F3068" s="2">
        <v>150</v>
      </c>
    </row>
    <row r="3069" spans="1:6">
      <c r="A3069" s="1">
        <v>43784</v>
      </c>
      <c r="B3069" t="s">
        <v>3215</v>
      </c>
      <c r="C3069" t="s">
        <v>187</v>
      </c>
      <c r="D3069" t="s">
        <v>141</v>
      </c>
      <c r="E3069" t="s">
        <v>134</v>
      </c>
      <c r="F3069" s="2">
        <v>180</v>
      </c>
    </row>
    <row r="3070" spans="1:6">
      <c r="A3070" s="1">
        <v>43784</v>
      </c>
      <c r="B3070" t="s">
        <v>3216</v>
      </c>
      <c r="C3070" t="s">
        <v>182</v>
      </c>
      <c r="D3070" t="s">
        <v>120</v>
      </c>
      <c r="E3070" t="s">
        <v>131</v>
      </c>
      <c r="F3070" s="2">
        <v>90</v>
      </c>
    </row>
    <row r="3071" spans="1:6">
      <c r="A3071" s="1">
        <v>43784</v>
      </c>
      <c r="B3071" t="s">
        <v>3217</v>
      </c>
      <c r="C3071" t="s">
        <v>189</v>
      </c>
      <c r="D3071" t="s">
        <v>130</v>
      </c>
      <c r="E3071" t="s">
        <v>127</v>
      </c>
      <c r="F3071" s="2">
        <v>100</v>
      </c>
    </row>
    <row r="3072" spans="1:6">
      <c r="A3072" s="1">
        <v>43784</v>
      </c>
      <c r="B3072" t="s">
        <v>3218</v>
      </c>
      <c r="C3072" t="s">
        <v>152</v>
      </c>
      <c r="D3072" t="s">
        <v>130</v>
      </c>
      <c r="E3072" t="s">
        <v>134</v>
      </c>
      <c r="F3072" s="2">
        <v>100</v>
      </c>
    </row>
    <row r="3073" spans="1:6">
      <c r="A3073" s="1">
        <v>43784</v>
      </c>
      <c r="B3073" t="s">
        <v>3219</v>
      </c>
      <c r="C3073" t="s">
        <v>223</v>
      </c>
      <c r="D3073" t="s">
        <v>139</v>
      </c>
      <c r="E3073" t="s">
        <v>134</v>
      </c>
      <c r="F3073" s="2">
        <v>80</v>
      </c>
    </row>
    <row r="3074" spans="1:6">
      <c r="A3074" s="1">
        <v>43784</v>
      </c>
      <c r="B3074" t="s">
        <v>3220</v>
      </c>
      <c r="C3074" t="s">
        <v>129</v>
      </c>
      <c r="D3074" t="s">
        <v>141</v>
      </c>
      <c r="E3074" t="s">
        <v>121</v>
      </c>
      <c r="F3074" s="2">
        <v>180</v>
      </c>
    </row>
    <row r="3075" spans="1:6">
      <c r="A3075" s="1">
        <v>43785</v>
      </c>
      <c r="B3075" t="s">
        <v>3221</v>
      </c>
      <c r="C3075" t="s">
        <v>187</v>
      </c>
      <c r="D3075" t="s">
        <v>120</v>
      </c>
      <c r="E3075" t="s">
        <v>153</v>
      </c>
      <c r="F3075" s="2">
        <v>90</v>
      </c>
    </row>
    <row r="3076" spans="1:6">
      <c r="A3076" s="1">
        <v>43785</v>
      </c>
      <c r="B3076" t="s">
        <v>3222</v>
      </c>
      <c r="C3076" t="s">
        <v>119</v>
      </c>
      <c r="D3076" t="s">
        <v>139</v>
      </c>
      <c r="E3076" t="s">
        <v>131</v>
      </c>
      <c r="F3076" s="2">
        <v>80</v>
      </c>
    </row>
    <row r="3077" spans="1:6">
      <c r="A3077" s="1">
        <v>43785</v>
      </c>
      <c r="B3077" t="s">
        <v>3223</v>
      </c>
      <c r="C3077" t="s">
        <v>143</v>
      </c>
      <c r="D3077" t="s">
        <v>126</v>
      </c>
      <c r="E3077" t="s">
        <v>153</v>
      </c>
      <c r="F3077" s="2">
        <v>160</v>
      </c>
    </row>
    <row r="3078" spans="1:6">
      <c r="A3078" s="1">
        <v>43785</v>
      </c>
      <c r="B3078" t="s">
        <v>3224</v>
      </c>
      <c r="C3078" t="s">
        <v>189</v>
      </c>
      <c r="D3078" t="s">
        <v>126</v>
      </c>
      <c r="E3078" t="s">
        <v>121</v>
      </c>
      <c r="F3078" s="2">
        <v>160</v>
      </c>
    </row>
    <row r="3079" spans="1:6">
      <c r="A3079" s="1">
        <v>43785</v>
      </c>
      <c r="B3079" t="s">
        <v>3225</v>
      </c>
      <c r="C3079" t="s">
        <v>129</v>
      </c>
      <c r="D3079" t="s">
        <v>146</v>
      </c>
      <c r="E3079" t="s">
        <v>131</v>
      </c>
      <c r="F3079" s="2">
        <v>50</v>
      </c>
    </row>
    <row r="3080" spans="1:6">
      <c r="A3080" s="1">
        <v>43785</v>
      </c>
      <c r="B3080" t="s">
        <v>3226</v>
      </c>
      <c r="C3080" t="s">
        <v>123</v>
      </c>
      <c r="D3080" t="s">
        <v>146</v>
      </c>
      <c r="E3080" t="s">
        <v>134</v>
      </c>
      <c r="F3080" s="2">
        <v>50</v>
      </c>
    </row>
    <row r="3081" spans="1:6">
      <c r="A3081" s="1">
        <v>43786</v>
      </c>
      <c r="B3081" t="s">
        <v>3227</v>
      </c>
      <c r="C3081" t="s">
        <v>182</v>
      </c>
      <c r="D3081" t="s">
        <v>133</v>
      </c>
      <c r="E3081" t="s">
        <v>121</v>
      </c>
      <c r="F3081" s="2">
        <v>30</v>
      </c>
    </row>
    <row r="3082" spans="1:6">
      <c r="A3082" s="1">
        <v>43786</v>
      </c>
      <c r="B3082" t="s">
        <v>3228</v>
      </c>
      <c r="C3082" t="s">
        <v>143</v>
      </c>
      <c r="D3082" t="s">
        <v>133</v>
      </c>
      <c r="E3082" t="s">
        <v>131</v>
      </c>
      <c r="F3082" s="2">
        <v>30</v>
      </c>
    </row>
    <row r="3083" spans="1:6">
      <c r="A3083" s="1">
        <v>43786</v>
      </c>
      <c r="B3083" t="s">
        <v>3229</v>
      </c>
      <c r="C3083" t="s">
        <v>157</v>
      </c>
      <c r="D3083" t="s">
        <v>146</v>
      </c>
      <c r="E3083" t="s">
        <v>121</v>
      </c>
      <c r="F3083" s="2">
        <v>50</v>
      </c>
    </row>
    <row r="3084" spans="1:6">
      <c r="A3084" s="1">
        <v>43786</v>
      </c>
      <c r="B3084" t="s">
        <v>3230</v>
      </c>
      <c r="C3084" t="s">
        <v>119</v>
      </c>
      <c r="D3084" t="s">
        <v>141</v>
      </c>
      <c r="E3084" t="s">
        <v>153</v>
      </c>
      <c r="F3084" s="2">
        <v>180</v>
      </c>
    </row>
    <row r="3085" spans="1:6">
      <c r="A3085" s="1">
        <v>43787</v>
      </c>
      <c r="B3085" t="s">
        <v>3231</v>
      </c>
      <c r="C3085" t="s">
        <v>157</v>
      </c>
      <c r="D3085" t="s">
        <v>139</v>
      </c>
      <c r="E3085" t="s">
        <v>134</v>
      </c>
      <c r="F3085" s="2">
        <v>80</v>
      </c>
    </row>
    <row r="3086" spans="1:6">
      <c r="A3086" s="1">
        <v>43787</v>
      </c>
      <c r="B3086" t="s">
        <v>3232</v>
      </c>
      <c r="C3086" t="s">
        <v>136</v>
      </c>
      <c r="D3086" t="s">
        <v>126</v>
      </c>
      <c r="E3086" t="s">
        <v>134</v>
      </c>
      <c r="F3086" s="2">
        <v>160</v>
      </c>
    </row>
    <row r="3087" spans="1:6">
      <c r="A3087" s="1">
        <v>43787</v>
      </c>
      <c r="B3087" t="s">
        <v>3233</v>
      </c>
      <c r="C3087" t="s">
        <v>123</v>
      </c>
      <c r="D3087" t="s">
        <v>139</v>
      </c>
      <c r="E3087" t="s">
        <v>131</v>
      </c>
      <c r="F3087" s="2">
        <v>80</v>
      </c>
    </row>
    <row r="3088" spans="1:6">
      <c r="A3088" s="1">
        <v>43787</v>
      </c>
      <c r="B3088" t="s">
        <v>3234</v>
      </c>
      <c r="C3088" t="s">
        <v>136</v>
      </c>
      <c r="D3088" t="s">
        <v>146</v>
      </c>
      <c r="E3088" t="s">
        <v>131</v>
      </c>
      <c r="F3088" s="2">
        <v>50</v>
      </c>
    </row>
    <row r="3089" spans="1:6">
      <c r="A3089" s="1">
        <v>43787</v>
      </c>
      <c r="B3089" t="s">
        <v>3235</v>
      </c>
      <c r="C3089" t="s">
        <v>152</v>
      </c>
      <c r="D3089" t="s">
        <v>120</v>
      </c>
      <c r="E3089" t="s">
        <v>153</v>
      </c>
      <c r="F3089" s="2">
        <v>90</v>
      </c>
    </row>
    <row r="3090" spans="1:6">
      <c r="A3090" s="1">
        <v>43787</v>
      </c>
      <c r="B3090" t="s">
        <v>3236</v>
      </c>
      <c r="C3090" t="s">
        <v>182</v>
      </c>
      <c r="D3090" t="s">
        <v>130</v>
      </c>
      <c r="E3090" t="s">
        <v>121</v>
      </c>
      <c r="F3090" s="2">
        <v>100</v>
      </c>
    </row>
    <row r="3091" spans="1:6">
      <c r="A3091" s="1">
        <v>43787</v>
      </c>
      <c r="B3091" t="s">
        <v>3237</v>
      </c>
      <c r="C3091" t="s">
        <v>129</v>
      </c>
      <c r="D3091" t="s">
        <v>133</v>
      </c>
      <c r="E3091" t="s">
        <v>134</v>
      </c>
      <c r="F3091" s="2">
        <v>30</v>
      </c>
    </row>
    <row r="3092" spans="1:6">
      <c r="A3092" s="1">
        <v>43787</v>
      </c>
      <c r="B3092" t="s">
        <v>3238</v>
      </c>
      <c r="C3092" t="s">
        <v>125</v>
      </c>
      <c r="D3092" t="s">
        <v>120</v>
      </c>
      <c r="E3092" t="s">
        <v>121</v>
      </c>
      <c r="F3092" s="2">
        <v>90</v>
      </c>
    </row>
    <row r="3093" spans="1:6">
      <c r="A3093" s="1">
        <v>43787</v>
      </c>
      <c r="B3093" t="s">
        <v>3239</v>
      </c>
      <c r="C3093" t="s">
        <v>182</v>
      </c>
      <c r="D3093" t="s">
        <v>126</v>
      </c>
      <c r="E3093" t="s">
        <v>121</v>
      </c>
      <c r="F3093" s="2">
        <v>160</v>
      </c>
    </row>
    <row r="3094" spans="1:6">
      <c r="A3094" s="1">
        <v>43788</v>
      </c>
      <c r="B3094" t="s">
        <v>3240</v>
      </c>
      <c r="C3094" t="s">
        <v>182</v>
      </c>
      <c r="D3094" t="s">
        <v>133</v>
      </c>
      <c r="E3094" t="s">
        <v>121</v>
      </c>
      <c r="F3094" s="2">
        <v>30</v>
      </c>
    </row>
    <row r="3095" spans="1:6">
      <c r="A3095" s="1">
        <v>43788</v>
      </c>
      <c r="B3095" t="s">
        <v>3241</v>
      </c>
      <c r="C3095" t="s">
        <v>145</v>
      </c>
      <c r="D3095" t="s">
        <v>159</v>
      </c>
      <c r="E3095" t="s">
        <v>153</v>
      </c>
      <c r="F3095" s="2">
        <v>150</v>
      </c>
    </row>
    <row r="3096" spans="1:6">
      <c r="A3096" s="1">
        <v>43788</v>
      </c>
      <c r="B3096" t="s">
        <v>3242</v>
      </c>
      <c r="C3096" t="s">
        <v>123</v>
      </c>
      <c r="D3096" t="s">
        <v>146</v>
      </c>
      <c r="E3096" t="s">
        <v>153</v>
      </c>
      <c r="F3096" s="2">
        <v>50</v>
      </c>
    </row>
    <row r="3097" spans="1:6">
      <c r="A3097" s="1">
        <v>43788</v>
      </c>
      <c r="B3097" t="s">
        <v>3243</v>
      </c>
      <c r="C3097" t="s">
        <v>164</v>
      </c>
      <c r="D3097" t="s">
        <v>120</v>
      </c>
      <c r="E3097" t="s">
        <v>131</v>
      </c>
      <c r="F3097" s="2">
        <v>90</v>
      </c>
    </row>
    <row r="3098" spans="1:6">
      <c r="A3098" s="1">
        <v>43788</v>
      </c>
      <c r="B3098" t="s">
        <v>3244</v>
      </c>
      <c r="C3098" t="s">
        <v>123</v>
      </c>
      <c r="D3098" t="s">
        <v>159</v>
      </c>
      <c r="E3098" t="s">
        <v>127</v>
      </c>
      <c r="F3098" s="2">
        <v>150</v>
      </c>
    </row>
    <row r="3099" spans="1:6">
      <c r="A3099" s="1">
        <v>43788</v>
      </c>
      <c r="B3099" t="s">
        <v>3245</v>
      </c>
      <c r="C3099" t="s">
        <v>167</v>
      </c>
      <c r="D3099" t="s">
        <v>139</v>
      </c>
      <c r="E3099" t="s">
        <v>131</v>
      </c>
      <c r="F3099" s="2">
        <v>80</v>
      </c>
    </row>
    <row r="3100" spans="1:6">
      <c r="A3100" s="1">
        <v>43788</v>
      </c>
      <c r="B3100" t="s">
        <v>3246</v>
      </c>
      <c r="C3100" t="s">
        <v>125</v>
      </c>
      <c r="D3100" t="s">
        <v>141</v>
      </c>
      <c r="E3100" t="s">
        <v>127</v>
      </c>
      <c r="F3100" s="2">
        <v>180</v>
      </c>
    </row>
    <row r="3101" spans="1:6">
      <c r="A3101" s="1">
        <v>43789</v>
      </c>
      <c r="B3101" t="s">
        <v>3247</v>
      </c>
      <c r="C3101" t="s">
        <v>138</v>
      </c>
      <c r="D3101" t="s">
        <v>146</v>
      </c>
      <c r="E3101" t="s">
        <v>127</v>
      </c>
      <c r="F3101" s="2">
        <v>50</v>
      </c>
    </row>
    <row r="3102" spans="1:6">
      <c r="A3102" s="1">
        <v>43789</v>
      </c>
      <c r="B3102" t="s">
        <v>3248</v>
      </c>
      <c r="C3102" t="s">
        <v>182</v>
      </c>
      <c r="D3102" t="s">
        <v>141</v>
      </c>
      <c r="E3102" t="s">
        <v>131</v>
      </c>
      <c r="F3102" s="2">
        <v>180</v>
      </c>
    </row>
    <row r="3103" spans="1:6">
      <c r="A3103" s="1">
        <v>43789</v>
      </c>
      <c r="B3103" t="s">
        <v>3249</v>
      </c>
      <c r="C3103" t="s">
        <v>148</v>
      </c>
      <c r="D3103" t="s">
        <v>141</v>
      </c>
      <c r="E3103" t="s">
        <v>121</v>
      </c>
      <c r="F3103" s="2">
        <v>180</v>
      </c>
    </row>
    <row r="3104" spans="1:6">
      <c r="A3104" s="1">
        <v>43789</v>
      </c>
      <c r="B3104" t="s">
        <v>3250</v>
      </c>
      <c r="C3104" t="s">
        <v>187</v>
      </c>
      <c r="D3104" t="s">
        <v>133</v>
      </c>
      <c r="E3104" t="s">
        <v>153</v>
      </c>
      <c r="F3104" s="2">
        <v>30</v>
      </c>
    </row>
    <row r="3105" spans="1:6">
      <c r="A3105" s="1">
        <v>43789</v>
      </c>
      <c r="B3105" t="s">
        <v>3251</v>
      </c>
      <c r="C3105" t="s">
        <v>164</v>
      </c>
      <c r="D3105" t="s">
        <v>126</v>
      </c>
      <c r="E3105" t="s">
        <v>127</v>
      </c>
      <c r="F3105" s="2">
        <v>160</v>
      </c>
    </row>
    <row r="3106" spans="1:6">
      <c r="A3106" s="1">
        <v>43789</v>
      </c>
      <c r="B3106" t="s">
        <v>3252</v>
      </c>
      <c r="C3106" t="s">
        <v>189</v>
      </c>
      <c r="D3106" t="s">
        <v>141</v>
      </c>
      <c r="E3106" t="s">
        <v>131</v>
      </c>
      <c r="F3106" s="2">
        <v>180</v>
      </c>
    </row>
    <row r="3107" spans="1:6">
      <c r="A3107" s="1">
        <v>43789</v>
      </c>
      <c r="B3107" t="s">
        <v>3253</v>
      </c>
      <c r="C3107" t="s">
        <v>138</v>
      </c>
      <c r="D3107" t="s">
        <v>159</v>
      </c>
      <c r="E3107" t="s">
        <v>127</v>
      </c>
      <c r="F3107" s="2">
        <v>150</v>
      </c>
    </row>
    <row r="3108" spans="1:6">
      <c r="A3108" s="1">
        <v>43789</v>
      </c>
      <c r="B3108" t="s">
        <v>3254</v>
      </c>
      <c r="C3108" t="s">
        <v>164</v>
      </c>
      <c r="D3108" t="s">
        <v>120</v>
      </c>
      <c r="E3108" t="s">
        <v>153</v>
      </c>
      <c r="F3108" s="2">
        <v>90</v>
      </c>
    </row>
    <row r="3109" spans="1:6">
      <c r="A3109" s="1">
        <v>43789</v>
      </c>
      <c r="B3109" t="s">
        <v>3255</v>
      </c>
      <c r="C3109" t="s">
        <v>157</v>
      </c>
      <c r="D3109" t="s">
        <v>159</v>
      </c>
      <c r="E3109" t="s">
        <v>134</v>
      </c>
      <c r="F3109" s="2">
        <v>150</v>
      </c>
    </row>
    <row r="3110" spans="1:6">
      <c r="A3110" s="1">
        <v>43789</v>
      </c>
      <c r="B3110" t="s">
        <v>3256</v>
      </c>
      <c r="C3110" t="s">
        <v>143</v>
      </c>
      <c r="D3110" t="s">
        <v>146</v>
      </c>
      <c r="E3110" t="s">
        <v>131</v>
      </c>
      <c r="F3110" s="2">
        <v>50</v>
      </c>
    </row>
    <row r="3111" spans="1:6">
      <c r="A3111" s="1">
        <v>43790</v>
      </c>
      <c r="B3111" t="s">
        <v>3257</v>
      </c>
      <c r="C3111" t="s">
        <v>123</v>
      </c>
      <c r="D3111" t="s">
        <v>139</v>
      </c>
      <c r="E3111" t="s">
        <v>121</v>
      </c>
      <c r="F3111" s="2">
        <v>80</v>
      </c>
    </row>
    <row r="3112" spans="1:6">
      <c r="A3112" s="1">
        <v>43790</v>
      </c>
      <c r="B3112" t="s">
        <v>3258</v>
      </c>
      <c r="C3112" t="s">
        <v>125</v>
      </c>
      <c r="D3112" t="s">
        <v>141</v>
      </c>
      <c r="E3112" t="s">
        <v>153</v>
      </c>
      <c r="F3112" s="2">
        <v>180</v>
      </c>
    </row>
    <row r="3113" spans="1:6">
      <c r="A3113" s="1">
        <v>43790</v>
      </c>
      <c r="B3113" t="s">
        <v>3259</v>
      </c>
      <c r="C3113" t="s">
        <v>167</v>
      </c>
      <c r="D3113" t="s">
        <v>120</v>
      </c>
      <c r="E3113" t="s">
        <v>127</v>
      </c>
      <c r="F3113" s="2">
        <v>90</v>
      </c>
    </row>
    <row r="3114" spans="1:6">
      <c r="A3114" s="1">
        <v>43790</v>
      </c>
      <c r="B3114" t="s">
        <v>3260</v>
      </c>
      <c r="C3114" t="s">
        <v>152</v>
      </c>
      <c r="D3114" t="s">
        <v>130</v>
      </c>
      <c r="E3114" t="s">
        <v>121</v>
      </c>
      <c r="F3114" s="2">
        <v>100</v>
      </c>
    </row>
    <row r="3115" spans="1:6">
      <c r="A3115" s="1">
        <v>43790</v>
      </c>
      <c r="B3115" t="s">
        <v>3261</v>
      </c>
      <c r="C3115" t="s">
        <v>129</v>
      </c>
      <c r="D3115" t="s">
        <v>146</v>
      </c>
      <c r="E3115" t="s">
        <v>127</v>
      </c>
      <c r="F3115" s="2">
        <v>50</v>
      </c>
    </row>
    <row r="3116" spans="1:6">
      <c r="A3116" s="1">
        <v>43790</v>
      </c>
      <c r="B3116" t="s">
        <v>3262</v>
      </c>
      <c r="C3116" t="s">
        <v>164</v>
      </c>
      <c r="D3116" t="s">
        <v>146</v>
      </c>
      <c r="E3116" t="s">
        <v>134</v>
      </c>
      <c r="F3116" s="2">
        <v>50</v>
      </c>
    </row>
    <row r="3117" spans="1:6">
      <c r="A3117" s="1">
        <v>43790</v>
      </c>
      <c r="B3117" t="s">
        <v>3263</v>
      </c>
      <c r="C3117" t="s">
        <v>129</v>
      </c>
      <c r="D3117" t="s">
        <v>146</v>
      </c>
      <c r="E3117" t="s">
        <v>134</v>
      </c>
      <c r="F3117" s="2">
        <v>50</v>
      </c>
    </row>
    <row r="3118" spans="1:6">
      <c r="A3118" s="1">
        <v>43790</v>
      </c>
      <c r="B3118" t="s">
        <v>3264</v>
      </c>
      <c r="C3118" t="s">
        <v>164</v>
      </c>
      <c r="D3118" t="s">
        <v>130</v>
      </c>
      <c r="E3118" t="s">
        <v>121</v>
      </c>
      <c r="F3118" s="2">
        <v>100</v>
      </c>
    </row>
    <row r="3119" spans="1:6">
      <c r="A3119" s="1">
        <v>43790</v>
      </c>
      <c r="B3119" t="s">
        <v>3265</v>
      </c>
      <c r="C3119" t="s">
        <v>152</v>
      </c>
      <c r="D3119" t="s">
        <v>141</v>
      </c>
      <c r="E3119" t="s">
        <v>121</v>
      </c>
      <c r="F3119" s="2">
        <v>180</v>
      </c>
    </row>
    <row r="3120" spans="1:6">
      <c r="A3120" s="1">
        <v>43790</v>
      </c>
      <c r="B3120" t="s">
        <v>3266</v>
      </c>
      <c r="C3120" t="s">
        <v>119</v>
      </c>
      <c r="D3120" t="s">
        <v>133</v>
      </c>
      <c r="E3120" t="s">
        <v>134</v>
      </c>
      <c r="F3120" s="2">
        <v>30</v>
      </c>
    </row>
    <row r="3121" spans="1:6">
      <c r="A3121" s="1">
        <v>43791</v>
      </c>
      <c r="B3121" t="s">
        <v>3267</v>
      </c>
      <c r="C3121" t="s">
        <v>189</v>
      </c>
      <c r="D3121" t="s">
        <v>159</v>
      </c>
      <c r="E3121" t="s">
        <v>131</v>
      </c>
      <c r="F3121" s="2">
        <v>150</v>
      </c>
    </row>
    <row r="3122" spans="1:6">
      <c r="A3122" s="1">
        <v>43791</v>
      </c>
      <c r="B3122" t="s">
        <v>3268</v>
      </c>
      <c r="C3122" t="s">
        <v>182</v>
      </c>
      <c r="D3122" t="s">
        <v>133</v>
      </c>
      <c r="E3122" t="s">
        <v>134</v>
      </c>
      <c r="F3122" s="2">
        <v>30</v>
      </c>
    </row>
    <row r="3123" spans="1:6">
      <c r="A3123" s="1">
        <v>43791</v>
      </c>
      <c r="B3123" t="s">
        <v>3269</v>
      </c>
      <c r="C3123" t="s">
        <v>138</v>
      </c>
      <c r="D3123" t="s">
        <v>130</v>
      </c>
      <c r="E3123" t="s">
        <v>131</v>
      </c>
      <c r="F3123" s="2">
        <v>100</v>
      </c>
    </row>
    <row r="3124" spans="1:6">
      <c r="A3124" s="1">
        <v>43791</v>
      </c>
      <c r="B3124" t="s">
        <v>3270</v>
      </c>
      <c r="C3124" t="s">
        <v>138</v>
      </c>
      <c r="D3124" t="s">
        <v>139</v>
      </c>
      <c r="E3124" t="s">
        <v>134</v>
      </c>
      <c r="F3124" s="2">
        <v>80</v>
      </c>
    </row>
    <row r="3125" spans="1:6">
      <c r="A3125" s="1">
        <v>43791</v>
      </c>
      <c r="B3125" t="s">
        <v>3271</v>
      </c>
      <c r="C3125" t="s">
        <v>187</v>
      </c>
      <c r="D3125" t="s">
        <v>146</v>
      </c>
      <c r="E3125" t="s">
        <v>121</v>
      </c>
      <c r="F3125" s="2">
        <v>50</v>
      </c>
    </row>
    <row r="3126" spans="1:6">
      <c r="A3126" s="1">
        <v>43791</v>
      </c>
      <c r="B3126" t="s">
        <v>3272</v>
      </c>
      <c r="C3126" t="s">
        <v>164</v>
      </c>
      <c r="D3126" t="s">
        <v>130</v>
      </c>
      <c r="E3126" t="s">
        <v>121</v>
      </c>
      <c r="F3126" s="2">
        <v>100</v>
      </c>
    </row>
    <row r="3127" spans="1:6">
      <c r="A3127" s="1">
        <v>43791</v>
      </c>
      <c r="B3127" t="s">
        <v>3273</v>
      </c>
      <c r="C3127" t="s">
        <v>125</v>
      </c>
      <c r="D3127" t="s">
        <v>159</v>
      </c>
      <c r="E3127" t="s">
        <v>121</v>
      </c>
      <c r="F3127" s="2">
        <v>150</v>
      </c>
    </row>
    <row r="3128" spans="1:6">
      <c r="A3128" s="1">
        <v>43791</v>
      </c>
      <c r="B3128" t="s">
        <v>3274</v>
      </c>
      <c r="C3128" t="s">
        <v>119</v>
      </c>
      <c r="D3128" t="s">
        <v>159</v>
      </c>
      <c r="E3128" t="s">
        <v>131</v>
      </c>
      <c r="F3128" s="2">
        <v>150</v>
      </c>
    </row>
    <row r="3129" spans="1:6">
      <c r="A3129" s="1">
        <v>43791</v>
      </c>
      <c r="B3129" t="s">
        <v>3275</v>
      </c>
      <c r="C3129" t="s">
        <v>129</v>
      </c>
      <c r="D3129" t="s">
        <v>146</v>
      </c>
      <c r="E3129" t="s">
        <v>131</v>
      </c>
      <c r="F3129" s="2">
        <v>50</v>
      </c>
    </row>
    <row r="3130" spans="1:6">
      <c r="A3130" s="1">
        <v>43791</v>
      </c>
      <c r="B3130" t="s">
        <v>3276</v>
      </c>
      <c r="C3130" t="s">
        <v>119</v>
      </c>
      <c r="D3130" t="s">
        <v>130</v>
      </c>
      <c r="E3130" t="s">
        <v>127</v>
      </c>
      <c r="F3130" s="2">
        <v>100</v>
      </c>
    </row>
    <row r="3131" spans="1:6">
      <c r="A3131" s="1">
        <v>43791</v>
      </c>
      <c r="B3131" t="s">
        <v>3277</v>
      </c>
      <c r="C3131" t="s">
        <v>143</v>
      </c>
      <c r="D3131" t="s">
        <v>133</v>
      </c>
      <c r="E3131" t="s">
        <v>131</v>
      </c>
      <c r="F3131" s="2">
        <v>30</v>
      </c>
    </row>
    <row r="3132" spans="1:6">
      <c r="A3132" s="1">
        <v>43792</v>
      </c>
      <c r="B3132" t="s">
        <v>3278</v>
      </c>
      <c r="C3132" t="s">
        <v>187</v>
      </c>
      <c r="D3132" t="s">
        <v>146</v>
      </c>
      <c r="E3132" t="s">
        <v>153</v>
      </c>
      <c r="F3132" s="2">
        <v>50</v>
      </c>
    </row>
    <row r="3133" spans="1:6">
      <c r="A3133" s="1">
        <v>43792</v>
      </c>
      <c r="B3133" t="s">
        <v>3279</v>
      </c>
      <c r="C3133" t="s">
        <v>182</v>
      </c>
      <c r="D3133" t="s">
        <v>130</v>
      </c>
      <c r="E3133" t="s">
        <v>127</v>
      </c>
      <c r="F3133" s="2">
        <v>100</v>
      </c>
    </row>
    <row r="3134" spans="1:6">
      <c r="A3134" s="1">
        <v>43792</v>
      </c>
      <c r="B3134" t="s">
        <v>3280</v>
      </c>
      <c r="C3134" t="s">
        <v>119</v>
      </c>
      <c r="D3134" t="s">
        <v>126</v>
      </c>
      <c r="E3134" t="s">
        <v>131</v>
      </c>
      <c r="F3134" s="2">
        <v>160</v>
      </c>
    </row>
    <row r="3135" spans="1:6">
      <c r="A3135" s="1">
        <v>43792</v>
      </c>
      <c r="B3135" t="s">
        <v>3281</v>
      </c>
      <c r="C3135" t="s">
        <v>164</v>
      </c>
      <c r="D3135" t="s">
        <v>141</v>
      </c>
      <c r="E3135" t="s">
        <v>121</v>
      </c>
      <c r="F3135" s="2">
        <v>180</v>
      </c>
    </row>
    <row r="3136" spans="1:6">
      <c r="A3136" s="1">
        <v>43792</v>
      </c>
      <c r="B3136" t="s">
        <v>3282</v>
      </c>
      <c r="C3136" t="s">
        <v>187</v>
      </c>
      <c r="D3136" t="s">
        <v>139</v>
      </c>
      <c r="E3136" t="s">
        <v>153</v>
      </c>
      <c r="F3136" s="2">
        <v>80</v>
      </c>
    </row>
    <row r="3137" spans="1:6">
      <c r="A3137" s="1">
        <v>43792</v>
      </c>
      <c r="B3137" t="s">
        <v>3283</v>
      </c>
      <c r="C3137" t="s">
        <v>157</v>
      </c>
      <c r="D3137" t="s">
        <v>126</v>
      </c>
      <c r="E3137" t="s">
        <v>153</v>
      </c>
      <c r="F3137" s="2">
        <v>160</v>
      </c>
    </row>
    <row r="3138" spans="1:6">
      <c r="A3138" s="1">
        <v>43792</v>
      </c>
      <c r="B3138" t="s">
        <v>3284</v>
      </c>
      <c r="C3138" t="s">
        <v>187</v>
      </c>
      <c r="D3138" t="s">
        <v>141</v>
      </c>
      <c r="E3138" t="s">
        <v>131</v>
      </c>
      <c r="F3138" s="2">
        <v>180</v>
      </c>
    </row>
    <row r="3139" spans="1:6">
      <c r="A3139" s="1">
        <v>43792</v>
      </c>
      <c r="B3139" t="s">
        <v>3285</v>
      </c>
      <c r="C3139" t="s">
        <v>148</v>
      </c>
      <c r="D3139" t="s">
        <v>130</v>
      </c>
      <c r="E3139" t="s">
        <v>153</v>
      </c>
      <c r="F3139" s="2">
        <v>100</v>
      </c>
    </row>
    <row r="3140" spans="1:6">
      <c r="A3140" s="1">
        <v>43792</v>
      </c>
      <c r="B3140" t="s">
        <v>3286</v>
      </c>
      <c r="C3140" t="s">
        <v>129</v>
      </c>
      <c r="D3140" t="s">
        <v>141</v>
      </c>
      <c r="E3140" t="s">
        <v>153</v>
      </c>
      <c r="F3140" s="2">
        <v>180</v>
      </c>
    </row>
    <row r="3141" spans="1:6">
      <c r="A3141" s="1">
        <v>43792</v>
      </c>
      <c r="B3141" t="s">
        <v>3287</v>
      </c>
      <c r="C3141" t="s">
        <v>119</v>
      </c>
      <c r="D3141" t="s">
        <v>133</v>
      </c>
      <c r="E3141" t="s">
        <v>134</v>
      </c>
      <c r="F3141" s="2">
        <v>30</v>
      </c>
    </row>
    <row r="3142" spans="1:6">
      <c r="A3142" s="1">
        <v>43792</v>
      </c>
      <c r="B3142" t="s">
        <v>3288</v>
      </c>
      <c r="C3142" t="s">
        <v>182</v>
      </c>
      <c r="D3142" t="s">
        <v>146</v>
      </c>
      <c r="E3142" t="s">
        <v>134</v>
      </c>
      <c r="F3142" s="2">
        <v>50</v>
      </c>
    </row>
    <row r="3143" spans="1:6">
      <c r="A3143" s="1">
        <v>43792</v>
      </c>
      <c r="B3143" t="s">
        <v>3289</v>
      </c>
      <c r="C3143" t="s">
        <v>189</v>
      </c>
      <c r="D3143" t="s">
        <v>141</v>
      </c>
      <c r="E3143" t="s">
        <v>131</v>
      </c>
      <c r="F3143" s="2">
        <v>180</v>
      </c>
    </row>
    <row r="3144" spans="1:6">
      <c r="A3144" s="1">
        <v>43792</v>
      </c>
      <c r="B3144" t="s">
        <v>3290</v>
      </c>
      <c r="C3144" t="s">
        <v>143</v>
      </c>
      <c r="D3144" t="s">
        <v>126</v>
      </c>
      <c r="E3144" t="s">
        <v>134</v>
      </c>
      <c r="F3144" s="2">
        <v>160</v>
      </c>
    </row>
    <row r="3145" spans="1:6">
      <c r="A3145" s="1">
        <v>43793</v>
      </c>
      <c r="B3145" t="s">
        <v>3291</v>
      </c>
      <c r="C3145" t="s">
        <v>129</v>
      </c>
      <c r="D3145" t="s">
        <v>141</v>
      </c>
      <c r="E3145" t="s">
        <v>127</v>
      </c>
      <c r="F3145" s="2">
        <v>180</v>
      </c>
    </row>
    <row r="3146" spans="1:6">
      <c r="A3146" s="1">
        <v>43793</v>
      </c>
      <c r="B3146" t="s">
        <v>3292</v>
      </c>
      <c r="C3146" t="s">
        <v>119</v>
      </c>
      <c r="D3146" t="s">
        <v>130</v>
      </c>
      <c r="E3146" t="s">
        <v>153</v>
      </c>
      <c r="F3146" s="2">
        <v>100</v>
      </c>
    </row>
    <row r="3147" spans="1:6">
      <c r="A3147" s="1">
        <v>43793</v>
      </c>
      <c r="B3147" t="s">
        <v>3293</v>
      </c>
      <c r="C3147" t="s">
        <v>143</v>
      </c>
      <c r="D3147" t="s">
        <v>139</v>
      </c>
      <c r="E3147" t="s">
        <v>134</v>
      </c>
      <c r="F3147" s="2">
        <v>80</v>
      </c>
    </row>
    <row r="3148" spans="1:6">
      <c r="A3148" s="1">
        <v>43793</v>
      </c>
      <c r="B3148" t="s">
        <v>3294</v>
      </c>
      <c r="C3148" t="s">
        <v>152</v>
      </c>
      <c r="D3148" t="s">
        <v>130</v>
      </c>
      <c r="E3148" t="s">
        <v>153</v>
      </c>
      <c r="F3148" s="2">
        <v>100</v>
      </c>
    </row>
    <row r="3149" spans="1:6">
      <c r="A3149" s="1">
        <v>43793</v>
      </c>
      <c r="B3149" t="s">
        <v>3295</v>
      </c>
      <c r="C3149" t="s">
        <v>152</v>
      </c>
      <c r="D3149" t="s">
        <v>126</v>
      </c>
      <c r="E3149" t="s">
        <v>127</v>
      </c>
      <c r="F3149" s="2">
        <v>160</v>
      </c>
    </row>
    <row r="3150" spans="1:6">
      <c r="A3150" s="1">
        <v>43793</v>
      </c>
      <c r="B3150" t="s">
        <v>3296</v>
      </c>
      <c r="C3150" t="s">
        <v>152</v>
      </c>
      <c r="D3150" t="s">
        <v>120</v>
      </c>
      <c r="E3150" t="s">
        <v>121</v>
      </c>
      <c r="F3150" s="2">
        <v>90</v>
      </c>
    </row>
    <row r="3151" spans="1:6">
      <c r="A3151" s="1">
        <v>43793</v>
      </c>
      <c r="B3151" t="s">
        <v>3297</v>
      </c>
      <c r="C3151" t="s">
        <v>129</v>
      </c>
      <c r="D3151" t="s">
        <v>130</v>
      </c>
      <c r="E3151" t="s">
        <v>153</v>
      </c>
      <c r="F3151" s="2">
        <v>100</v>
      </c>
    </row>
    <row r="3152" spans="1:6">
      <c r="A3152" s="1">
        <v>43793</v>
      </c>
      <c r="B3152" t="s">
        <v>3298</v>
      </c>
      <c r="C3152" t="s">
        <v>148</v>
      </c>
      <c r="D3152" t="s">
        <v>139</v>
      </c>
      <c r="E3152" t="s">
        <v>131</v>
      </c>
      <c r="F3152" s="2">
        <v>80</v>
      </c>
    </row>
    <row r="3153" spans="1:6">
      <c r="A3153" s="1">
        <v>43793</v>
      </c>
      <c r="B3153" t="s">
        <v>3299</v>
      </c>
      <c r="C3153" t="s">
        <v>187</v>
      </c>
      <c r="D3153" t="s">
        <v>141</v>
      </c>
      <c r="E3153" t="s">
        <v>153</v>
      </c>
      <c r="F3153" s="2">
        <v>180</v>
      </c>
    </row>
    <row r="3154" spans="1:6">
      <c r="A3154" s="1">
        <v>43793</v>
      </c>
      <c r="B3154" t="s">
        <v>3300</v>
      </c>
      <c r="C3154" t="s">
        <v>164</v>
      </c>
      <c r="D3154" t="s">
        <v>133</v>
      </c>
      <c r="E3154" t="s">
        <v>127</v>
      </c>
      <c r="F3154" s="2">
        <v>30</v>
      </c>
    </row>
    <row r="3155" spans="1:6">
      <c r="A3155" s="1">
        <v>43793</v>
      </c>
      <c r="B3155" t="s">
        <v>3301</v>
      </c>
      <c r="C3155" t="s">
        <v>129</v>
      </c>
      <c r="D3155" t="s">
        <v>120</v>
      </c>
      <c r="E3155" t="s">
        <v>134</v>
      </c>
      <c r="F3155" s="2">
        <v>90</v>
      </c>
    </row>
    <row r="3156" spans="1:6">
      <c r="A3156" s="1">
        <v>43794</v>
      </c>
      <c r="B3156" t="s">
        <v>3302</v>
      </c>
      <c r="C3156" t="s">
        <v>187</v>
      </c>
      <c r="D3156" t="s">
        <v>139</v>
      </c>
      <c r="E3156" t="s">
        <v>131</v>
      </c>
      <c r="F3156" s="2">
        <v>80</v>
      </c>
    </row>
    <row r="3157" spans="1:6">
      <c r="A3157" s="1">
        <v>43794</v>
      </c>
      <c r="B3157" t="s">
        <v>3303</v>
      </c>
      <c r="C3157" t="s">
        <v>164</v>
      </c>
      <c r="D3157" t="s">
        <v>146</v>
      </c>
      <c r="E3157" t="s">
        <v>153</v>
      </c>
      <c r="F3157" s="2">
        <v>50</v>
      </c>
    </row>
    <row r="3158" spans="1:6">
      <c r="A3158" s="1">
        <v>43794</v>
      </c>
      <c r="B3158" t="s">
        <v>3304</v>
      </c>
      <c r="C3158" t="s">
        <v>136</v>
      </c>
      <c r="D3158" t="s">
        <v>120</v>
      </c>
      <c r="E3158" t="s">
        <v>127</v>
      </c>
      <c r="F3158" s="2">
        <v>90</v>
      </c>
    </row>
    <row r="3159" spans="1:6">
      <c r="A3159" s="1">
        <v>43794</v>
      </c>
      <c r="B3159" t="s">
        <v>3305</v>
      </c>
      <c r="C3159" t="s">
        <v>223</v>
      </c>
      <c r="D3159" t="s">
        <v>120</v>
      </c>
      <c r="E3159" t="s">
        <v>121</v>
      </c>
      <c r="F3159" s="2">
        <v>90</v>
      </c>
    </row>
    <row r="3160" spans="1:6">
      <c r="A3160" s="1">
        <v>43794</v>
      </c>
      <c r="B3160" t="s">
        <v>3306</v>
      </c>
      <c r="C3160" t="s">
        <v>167</v>
      </c>
      <c r="D3160" t="s">
        <v>139</v>
      </c>
      <c r="E3160" t="s">
        <v>127</v>
      </c>
      <c r="F3160" s="2">
        <v>80</v>
      </c>
    </row>
    <row r="3161" spans="1:6">
      <c r="A3161" s="1">
        <v>43794</v>
      </c>
      <c r="B3161" t="s">
        <v>3307</v>
      </c>
      <c r="C3161" t="s">
        <v>164</v>
      </c>
      <c r="D3161" t="s">
        <v>139</v>
      </c>
      <c r="E3161" t="s">
        <v>121</v>
      </c>
      <c r="F3161" s="2">
        <v>80</v>
      </c>
    </row>
    <row r="3162" spans="1:6">
      <c r="A3162" s="1">
        <v>43794</v>
      </c>
      <c r="B3162" t="s">
        <v>3308</v>
      </c>
      <c r="C3162" t="s">
        <v>119</v>
      </c>
      <c r="D3162" t="s">
        <v>139</v>
      </c>
      <c r="E3162" t="s">
        <v>127</v>
      </c>
      <c r="F3162" s="2">
        <v>80</v>
      </c>
    </row>
    <row r="3163" spans="1:6">
      <c r="A3163" s="1">
        <v>43794</v>
      </c>
      <c r="B3163" t="s">
        <v>3309</v>
      </c>
      <c r="C3163" t="s">
        <v>182</v>
      </c>
      <c r="D3163" t="s">
        <v>159</v>
      </c>
      <c r="E3163" t="s">
        <v>131</v>
      </c>
      <c r="F3163" s="2">
        <v>150</v>
      </c>
    </row>
    <row r="3164" spans="1:6">
      <c r="A3164" s="1">
        <v>43794</v>
      </c>
      <c r="B3164" t="s">
        <v>3310</v>
      </c>
      <c r="C3164" t="s">
        <v>143</v>
      </c>
      <c r="D3164" t="s">
        <v>159</v>
      </c>
      <c r="E3164" t="s">
        <v>127</v>
      </c>
      <c r="F3164" s="2">
        <v>150</v>
      </c>
    </row>
    <row r="3165" spans="1:6">
      <c r="A3165" s="1">
        <v>43794</v>
      </c>
      <c r="B3165" t="s">
        <v>3311</v>
      </c>
      <c r="C3165" t="s">
        <v>138</v>
      </c>
      <c r="D3165" t="s">
        <v>133</v>
      </c>
      <c r="E3165" t="s">
        <v>127</v>
      </c>
      <c r="F3165" s="2">
        <v>30</v>
      </c>
    </row>
    <row r="3166" spans="1:6">
      <c r="A3166" s="1">
        <v>43794</v>
      </c>
      <c r="B3166" t="s">
        <v>3312</v>
      </c>
      <c r="C3166" t="s">
        <v>148</v>
      </c>
      <c r="D3166" t="s">
        <v>120</v>
      </c>
      <c r="E3166" t="s">
        <v>134</v>
      </c>
      <c r="F3166" s="2">
        <v>90</v>
      </c>
    </row>
    <row r="3167" spans="1:6">
      <c r="A3167" s="1">
        <v>43794</v>
      </c>
      <c r="B3167" t="s">
        <v>3313</v>
      </c>
      <c r="C3167" t="s">
        <v>152</v>
      </c>
      <c r="D3167" t="s">
        <v>130</v>
      </c>
      <c r="E3167" t="s">
        <v>153</v>
      </c>
      <c r="F3167" s="2">
        <v>100</v>
      </c>
    </row>
    <row r="3168" spans="1:6">
      <c r="A3168" s="1">
        <v>43794</v>
      </c>
      <c r="B3168" t="s">
        <v>3314</v>
      </c>
      <c r="C3168" t="s">
        <v>189</v>
      </c>
      <c r="D3168" t="s">
        <v>126</v>
      </c>
      <c r="E3168" t="s">
        <v>131</v>
      </c>
      <c r="F3168" s="2">
        <v>160</v>
      </c>
    </row>
    <row r="3169" spans="1:6">
      <c r="A3169" s="1">
        <v>43794</v>
      </c>
      <c r="B3169" t="s">
        <v>3315</v>
      </c>
      <c r="C3169" t="s">
        <v>182</v>
      </c>
      <c r="D3169" t="s">
        <v>130</v>
      </c>
      <c r="E3169" t="s">
        <v>127</v>
      </c>
      <c r="F3169" s="2">
        <v>100</v>
      </c>
    </row>
    <row r="3170" spans="1:6">
      <c r="A3170" s="1">
        <v>43795</v>
      </c>
      <c r="B3170" t="s">
        <v>3316</v>
      </c>
      <c r="C3170" t="s">
        <v>223</v>
      </c>
      <c r="D3170" t="s">
        <v>139</v>
      </c>
      <c r="E3170" t="s">
        <v>153</v>
      </c>
      <c r="F3170" s="2">
        <v>80</v>
      </c>
    </row>
    <row r="3171" spans="1:6">
      <c r="A3171" s="1">
        <v>43795</v>
      </c>
      <c r="B3171" t="s">
        <v>3317</v>
      </c>
      <c r="C3171" t="s">
        <v>189</v>
      </c>
      <c r="D3171" t="s">
        <v>139</v>
      </c>
      <c r="E3171" t="s">
        <v>134</v>
      </c>
      <c r="F3171" s="2">
        <v>80</v>
      </c>
    </row>
    <row r="3172" spans="1:6">
      <c r="A3172" s="1">
        <v>43795</v>
      </c>
      <c r="B3172" t="s">
        <v>3318</v>
      </c>
      <c r="C3172" t="s">
        <v>148</v>
      </c>
      <c r="D3172" t="s">
        <v>141</v>
      </c>
      <c r="E3172" t="s">
        <v>131</v>
      </c>
      <c r="F3172" s="2">
        <v>180</v>
      </c>
    </row>
    <row r="3173" spans="1:6">
      <c r="A3173" s="1">
        <v>43795</v>
      </c>
      <c r="B3173" t="s">
        <v>3319</v>
      </c>
      <c r="C3173" t="s">
        <v>136</v>
      </c>
      <c r="D3173" t="s">
        <v>146</v>
      </c>
      <c r="E3173" t="s">
        <v>153</v>
      </c>
      <c r="F3173" s="2">
        <v>50</v>
      </c>
    </row>
    <row r="3174" spans="1:6">
      <c r="A3174" s="1">
        <v>43796</v>
      </c>
      <c r="B3174" t="s">
        <v>3320</v>
      </c>
      <c r="C3174" t="s">
        <v>182</v>
      </c>
      <c r="D3174" t="s">
        <v>146</v>
      </c>
      <c r="E3174" t="s">
        <v>121</v>
      </c>
      <c r="F3174" s="2">
        <v>50</v>
      </c>
    </row>
    <row r="3175" spans="1:6">
      <c r="A3175" s="1">
        <v>43796</v>
      </c>
      <c r="B3175" t="s">
        <v>3321</v>
      </c>
      <c r="C3175" t="s">
        <v>223</v>
      </c>
      <c r="D3175" t="s">
        <v>133</v>
      </c>
      <c r="E3175" t="s">
        <v>127</v>
      </c>
      <c r="F3175" s="2">
        <v>30</v>
      </c>
    </row>
    <row r="3176" spans="1:6">
      <c r="A3176" s="1">
        <v>43796</v>
      </c>
      <c r="B3176" t="s">
        <v>3322</v>
      </c>
      <c r="C3176" t="s">
        <v>119</v>
      </c>
      <c r="D3176" t="s">
        <v>141</v>
      </c>
      <c r="E3176" t="s">
        <v>131</v>
      </c>
      <c r="F3176" s="2">
        <v>180</v>
      </c>
    </row>
    <row r="3177" spans="1:6">
      <c r="A3177" s="1">
        <v>43796</v>
      </c>
      <c r="B3177" t="s">
        <v>3323</v>
      </c>
      <c r="C3177" t="s">
        <v>167</v>
      </c>
      <c r="D3177" t="s">
        <v>159</v>
      </c>
      <c r="E3177" t="s">
        <v>153</v>
      </c>
      <c r="F3177" s="2">
        <v>150</v>
      </c>
    </row>
    <row r="3178" spans="1:6">
      <c r="A3178" s="1">
        <v>43796</v>
      </c>
      <c r="B3178" t="s">
        <v>3324</v>
      </c>
      <c r="C3178" t="s">
        <v>145</v>
      </c>
      <c r="D3178" t="s">
        <v>141</v>
      </c>
      <c r="E3178" t="s">
        <v>121</v>
      </c>
      <c r="F3178" s="2">
        <v>180</v>
      </c>
    </row>
    <row r="3179" spans="1:6">
      <c r="A3179" s="1">
        <v>43796</v>
      </c>
      <c r="B3179" t="s">
        <v>3325</v>
      </c>
      <c r="C3179" t="s">
        <v>189</v>
      </c>
      <c r="D3179" t="s">
        <v>133</v>
      </c>
      <c r="E3179" t="s">
        <v>121</v>
      </c>
      <c r="F3179" s="2">
        <v>30</v>
      </c>
    </row>
    <row r="3180" spans="1:6">
      <c r="A3180" s="1">
        <v>43796</v>
      </c>
      <c r="B3180" t="s">
        <v>3326</v>
      </c>
      <c r="C3180" t="s">
        <v>119</v>
      </c>
      <c r="D3180" t="s">
        <v>146</v>
      </c>
      <c r="E3180" t="s">
        <v>131</v>
      </c>
      <c r="F3180" s="2">
        <v>50</v>
      </c>
    </row>
    <row r="3181" spans="1:6">
      <c r="A3181" s="1">
        <v>43796</v>
      </c>
      <c r="B3181" t="s">
        <v>3327</v>
      </c>
      <c r="C3181" t="s">
        <v>145</v>
      </c>
      <c r="D3181" t="s">
        <v>133</v>
      </c>
      <c r="E3181" t="s">
        <v>134</v>
      </c>
      <c r="F3181" s="2">
        <v>30</v>
      </c>
    </row>
    <row r="3182" spans="1:6">
      <c r="A3182" s="1">
        <v>43796</v>
      </c>
      <c r="B3182" t="s">
        <v>3328</v>
      </c>
      <c r="C3182" t="s">
        <v>138</v>
      </c>
      <c r="D3182" t="s">
        <v>159</v>
      </c>
      <c r="E3182" t="s">
        <v>153</v>
      </c>
      <c r="F3182" s="2">
        <v>150</v>
      </c>
    </row>
    <row r="3183" spans="1:6">
      <c r="A3183" s="1">
        <v>43796</v>
      </c>
      <c r="B3183" t="s">
        <v>3329</v>
      </c>
      <c r="C3183" t="s">
        <v>182</v>
      </c>
      <c r="D3183" t="s">
        <v>120</v>
      </c>
      <c r="E3183" t="s">
        <v>134</v>
      </c>
      <c r="F3183" s="2">
        <v>90</v>
      </c>
    </row>
    <row r="3184" spans="1:6">
      <c r="A3184" s="1">
        <v>43797</v>
      </c>
      <c r="B3184" t="s">
        <v>3330</v>
      </c>
      <c r="C3184" t="s">
        <v>136</v>
      </c>
      <c r="D3184" t="s">
        <v>159</v>
      </c>
      <c r="E3184" t="s">
        <v>127</v>
      </c>
      <c r="F3184" s="2">
        <v>150</v>
      </c>
    </row>
    <row r="3185" spans="1:6">
      <c r="A3185" s="1">
        <v>43797</v>
      </c>
      <c r="B3185" t="s">
        <v>3331</v>
      </c>
      <c r="C3185" t="s">
        <v>119</v>
      </c>
      <c r="D3185" t="s">
        <v>159</v>
      </c>
      <c r="E3185" t="s">
        <v>134</v>
      </c>
      <c r="F3185" s="2">
        <v>150</v>
      </c>
    </row>
    <row r="3186" spans="1:6">
      <c r="A3186" s="1">
        <v>43797</v>
      </c>
      <c r="B3186" t="s">
        <v>3332</v>
      </c>
      <c r="C3186" t="s">
        <v>152</v>
      </c>
      <c r="D3186" t="s">
        <v>146</v>
      </c>
      <c r="E3186" t="s">
        <v>121</v>
      </c>
      <c r="F3186" s="2">
        <v>50</v>
      </c>
    </row>
    <row r="3187" spans="1:6">
      <c r="A3187" s="1">
        <v>43797</v>
      </c>
      <c r="B3187" t="s">
        <v>3333</v>
      </c>
      <c r="C3187" t="s">
        <v>148</v>
      </c>
      <c r="D3187" t="s">
        <v>126</v>
      </c>
      <c r="E3187" t="s">
        <v>153</v>
      </c>
      <c r="F3187" s="2">
        <v>160</v>
      </c>
    </row>
    <row r="3188" spans="1:6">
      <c r="A3188" s="1">
        <v>43797</v>
      </c>
      <c r="B3188" t="s">
        <v>3334</v>
      </c>
      <c r="C3188" t="s">
        <v>129</v>
      </c>
      <c r="D3188" t="s">
        <v>120</v>
      </c>
      <c r="E3188" t="s">
        <v>131</v>
      </c>
      <c r="F3188" s="2">
        <v>90</v>
      </c>
    </row>
    <row r="3189" spans="1:6">
      <c r="A3189" s="1">
        <v>43798</v>
      </c>
      <c r="B3189" t="s">
        <v>3335</v>
      </c>
      <c r="C3189" t="s">
        <v>143</v>
      </c>
      <c r="D3189" t="s">
        <v>126</v>
      </c>
      <c r="E3189" t="s">
        <v>153</v>
      </c>
      <c r="F3189" s="2">
        <v>160</v>
      </c>
    </row>
    <row r="3190" spans="1:6">
      <c r="A3190" s="1">
        <v>43798</v>
      </c>
      <c r="B3190" t="s">
        <v>3336</v>
      </c>
      <c r="C3190" t="s">
        <v>167</v>
      </c>
      <c r="D3190" t="s">
        <v>139</v>
      </c>
      <c r="E3190" t="s">
        <v>121</v>
      </c>
      <c r="F3190" s="2">
        <v>80</v>
      </c>
    </row>
    <row r="3191" spans="1:6">
      <c r="A3191" s="1">
        <v>43798</v>
      </c>
      <c r="B3191" t="s">
        <v>3337</v>
      </c>
      <c r="C3191" t="s">
        <v>148</v>
      </c>
      <c r="D3191" t="s">
        <v>130</v>
      </c>
      <c r="E3191" t="s">
        <v>131</v>
      </c>
      <c r="F3191" s="2">
        <v>100</v>
      </c>
    </row>
    <row r="3192" spans="1:6">
      <c r="A3192" s="1">
        <v>43798</v>
      </c>
      <c r="B3192" t="s">
        <v>3338</v>
      </c>
      <c r="C3192" t="s">
        <v>136</v>
      </c>
      <c r="D3192" t="s">
        <v>139</v>
      </c>
      <c r="E3192" t="s">
        <v>134</v>
      </c>
      <c r="F3192" s="2">
        <v>80</v>
      </c>
    </row>
    <row r="3193" spans="1:6">
      <c r="A3193" s="1">
        <v>43798</v>
      </c>
      <c r="B3193" t="s">
        <v>3339</v>
      </c>
      <c r="C3193" t="s">
        <v>223</v>
      </c>
      <c r="D3193" t="s">
        <v>130</v>
      </c>
      <c r="E3193" t="s">
        <v>131</v>
      </c>
      <c r="F3193" s="2">
        <v>100</v>
      </c>
    </row>
    <row r="3194" spans="1:6">
      <c r="A3194" s="1">
        <v>43798</v>
      </c>
      <c r="B3194" t="s">
        <v>3340</v>
      </c>
      <c r="C3194" t="s">
        <v>129</v>
      </c>
      <c r="D3194" t="s">
        <v>141</v>
      </c>
      <c r="E3194" t="s">
        <v>131</v>
      </c>
      <c r="F3194" s="2">
        <v>180</v>
      </c>
    </row>
    <row r="3195" spans="1:6">
      <c r="A3195" s="1">
        <v>43798</v>
      </c>
      <c r="B3195" t="s">
        <v>3341</v>
      </c>
      <c r="C3195" t="s">
        <v>143</v>
      </c>
      <c r="D3195" t="s">
        <v>139</v>
      </c>
      <c r="E3195" t="s">
        <v>134</v>
      </c>
      <c r="F3195" s="2">
        <v>80</v>
      </c>
    </row>
    <row r="3196" spans="1:6">
      <c r="A3196" s="1">
        <v>43798</v>
      </c>
      <c r="B3196" t="s">
        <v>3342</v>
      </c>
      <c r="C3196" t="s">
        <v>143</v>
      </c>
      <c r="D3196" t="s">
        <v>146</v>
      </c>
      <c r="E3196" t="s">
        <v>134</v>
      </c>
      <c r="F3196" s="2">
        <v>50</v>
      </c>
    </row>
    <row r="3197" spans="1:6">
      <c r="A3197" s="1">
        <v>43798</v>
      </c>
      <c r="B3197" t="s">
        <v>3343</v>
      </c>
      <c r="C3197" t="s">
        <v>148</v>
      </c>
      <c r="D3197" t="s">
        <v>126</v>
      </c>
      <c r="E3197" t="s">
        <v>121</v>
      </c>
      <c r="F3197" s="2">
        <v>160</v>
      </c>
    </row>
    <row r="3198" spans="1:6">
      <c r="A3198" s="1">
        <v>43798</v>
      </c>
      <c r="B3198" t="s">
        <v>3344</v>
      </c>
      <c r="C3198" t="s">
        <v>143</v>
      </c>
      <c r="D3198" t="s">
        <v>141</v>
      </c>
      <c r="E3198" t="s">
        <v>134</v>
      </c>
      <c r="F3198" s="2">
        <v>180</v>
      </c>
    </row>
    <row r="3199" spans="1:6">
      <c r="A3199" s="1">
        <v>43798</v>
      </c>
      <c r="B3199" t="s">
        <v>3345</v>
      </c>
      <c r="C3199" t="s">
        <v>148</v>
      </c>
      <c r="D3199" t="s">
        <v>126</v>
      </c>
      <c r="E3199" t="s">
        <v>121</v>
      </c>
      <c r="F3199" s="2">
        <v>160</v>
      </c>
    </row>
    <row r="3200" spans="1:6">
      <c r="A3200" s="1">
        <v>43799</v>
      </c>
      <c r="B3200" t="s">
        <v>3346</v>
      </c>
      <c r="C3200" t="s">
        <v>125</v>
      </c>
      <c r="D3200" t="s">
        <v>133</v>
      </c>
      <c r="E3200" t="s">
        <v>153</v>
      </c>
      <c r="F3200" s="2">
        <v>30</v>
      </c>
    </row>
    <row r="3201" spans="1:6">
      <c r="A3201" s="1">
        <v>43799</v>
      </c>
      <c r="B3201" t="s">
        <v>3347</v>
      </c>
      <c r="C3201" t="s">
        <v>125</v>
      </c>
      <c r="D3201" t="s">
        <v>130</v>
      </c>
      <c r="E3201" t="s">
        <v>134</v>
      </c>
      <c r="F3201" s="2">
        <v>100</v>
      </c>
    </row>
    <row r="3202" spans="1:6">
      <c r="A3202" s="1">
        <v>43799</v>
      </c>
      <c r="B3202" t="s">
        <v>3348</v>
      </c>
      <c r="C3202" t="s">
        <v>148</v>
      </c>
      <c r="D3202" t="s">
        <v>159</v>
      </c>
      <c r="E3202" t="s">
        <v>134</v>
      </c>
      <c r="F3202" s="2">
        <v>150</v>
      </c>
    </row>
    <row r="3203" spans="1:6">
      <c r="A3203" s="1">
        <v>43799</v>
      </c>
      <c r="B3203" t="s">
        <v>3349</v>
      </c>
      <c r="C3203" t="s">
        <v>145</v>
      </c>
      <c r="D3203" t="s">
        <v>133</v>
      </c>
      <c r="E3203" t="s">
        <v>134</v>
      </c>
      <c r="F3203" s="2">
        <v>30</v>
      </c>
    </row>
    <row r="3204" spans="1:6">
      <c r="A3204" s="1">
        <v>43799</v>
      </c>
      <c r="B3204" t="s">
        <v>3350</v>
      </c>
      <c r="C3204" t="s">
        <v>138</v>
      </c>
      <c r="D3204" t="s">
        <v>120</v>
      </c>
      <c r="E3204" t="s">
        <v>131</v>
      </c>
      <c r="F3204" s="2">
        <v>90</v>
      </c>
    </row>
    <row r="3205" spans="1:6">
      <c r="A3205" s="1">
        <v>43799</v>
      </c>
      <c r="B3205" t="s">
        <v>3351</v>
      </c>
      <c r="C3205" t="s">
        <v>167</v>
      </c>
      <c r="D3205" t="s">
        <v>120</v>
      </c>
      <c r="E3205" t="s">
        <v>121</v>
      </c>
      <c r="F3205" s="2">
        <v>90</v>
      </c>
    </row>
    <row r="3206" spans="1:6">
      <c r="A3206" s="1">
        <v>43799</v>
      </c>
      <c r="B3206" t="s">
        <v>3352</v>
      </c>
      <c r="C3206" t="s">
        <v>182</v>
      </c>
      <c r="D3206" t="s">
        <v>133</v>
      </c>
      <c r="E3206" t="s">
        <v>131</v>
      </c>
      <c r="F3206" s="2">
        <v>30</v>
      </c>
    </row>
    <row r="3207" spans="1:6">
      <c r="A3207" s="1">
        <v>43799</v>
      </c>
      <c r="B3207" t="s">
        <v>3353</v>
      </c>
      <c r="C3207" t="s">
        <v>138</v>
      </c>
      <c r="D3207" t="s">
        <v>139</v>
      </c>
      <c r="E3207" t="s">
        <v>131</v>
      </c>
      <c r="F3207" s="2">
        <v>80</v>
      </c>
    </row>
    <row r="3208" spans="1:6">
      <c r="A3208" s="1">
        <v>43799</v>
      </c>
      <c r="B3208" t="s">
        <v>3354</v>
      </c>
      <c r="C3208" t="s">
        <v>182</v>
      </c>
      <c r="D3208" t="s">
        <v>126</v>
      </c>
      <c r="E3208" t="s">
        <v>131</v>
      </c>
      <c r="F3208" s="2">
        <v>160</v>
      </c>
    </row>
    <row r="3209" spans="1:6">
      <c r="A3209" s="1">
        <v>43799</v>
      </c>
      <c r="B3209" t="s">
        <v>3355</v>
      </c>
      <c r="C3209" t="s">
        <v>164</v>
      </c>
      <c r="D3209" t="s">
        <v>141</v>
      </c>
      <c r="E3209" t="s">
        <v>134</v>
      </c>
      <c r="F3209" s="2">
        <v>180</v>
      </c>
    </row>
    <row r="3210" spans="1:6">
      <c r="A3210" s="1">
        <v>43799</v>
      </c>
      <c r="B3210" t="s">
        <v>3356</v>
      </c>
      <c r="C3210" t="s">
        <v>157</v>
      </c>
      <c r="D3210" t="s">
        <v>139</v>
      </c>
      <c r="E3210" t="s">
        <v>134</v>
      </c>
      <c r="F3210" s="2">
        <v>80</v>
      </c>
    </row>
    <row r="3211" spans="1:6">
      <c r="A3211" s="1">
        <v>43800</v>
      </c>
      <c r="B3211" t="s">
        <v>3357</v>
      </c>
      <c r="C3211" t="s">
        <v>129</v>
      </c>
      <c r="D3211" t="s">
        <v>120</v>
      </c>
      <c r="E3211" t="s">
        <v>131</v>
      </c>
      <c r="F3211" s="2">
        <v>90</v>
      </c>
    </row>
    <row r="3212" spans="1:6">
      <c r="A3212" s="1">
        <v>43800</v>
      </c>
      <c r="B3212" t="s">
        <v>3358</v>
      </c>
      <c r="C3212" t="s">
        <v>119</v>
      </c>
      <c r="D3212" t="s">
        <v>139</v>
      </c>
      <c r="E3212" t="s">
        <v>121</v>
      </c>
      <c r="F3212" s="2">
        <v>80</v>
      </c>
    </row>
    <row r="3213" spans="1:6">
      <c r="A3213" s="1">
        <v>43800</v>
      </c>
      <c r="B3213" t="s">
        <v>3359</v>
      </c>
      <c r="C3213" t="s">
        <v>189</v>
      </c>
      <c r="D3213" t="s">
        <v>146</v>
      </c>
      <c r="E3213" t="s">
        <v>134</v>
      </c>
      <c r="F3213" s="2">
        <v>50</v>
      </c>
    </row>
    <row r="3214" spans="1:6">
      <c r="A3214" s="1">
        <v>43800</v>
      </c>
      <c r="B3214" t="s">
        <v>3360</v>
      </c>
      <c r="C3214" t="s">
        <v>129</v>
      </c>
      <c r="D3214" t="s">
        <v>139</v>
      </c>
      <c r="E3214" t="s">
        <v>127</v>
      </c>
      <c r="F3214" s="2">
        <v>80</v>
      </c>
    </row>
    <row r="3215" spans="1:6">
      <c r="A3215" s="1">
        <v>43800</v>
      </c>
      <c r="B3215" t="s">
        <v>3361</v>
      </c>
      <c r="C3215" t="s">
        <v>182</v>
      </c>
      <c r="D3215" t="s">
        <v>146</v>
      </c>
      <c r="E3215" t="s">
        <v>127</v>
      </c>
      <c r="F3215" s="2">
        <v>50</v>
      </c>
    </row>
    <row r="3216" spans="1:6">
      <c r="A3216" s="1">
        <v>43800</v>
      </c>
      <c r="B3216" t="s">
        <v>3362</v>
      </c>
      <c r="C3216" t="s">
        <v>148</v>
      </c>
      <c r="D3216" t="s">
        <v>159</v>
      </c>
      <c r="E3216" t="s">
        <v>121</v>
      </c>
      <c r="F3216" s="2">
        <v>150</v>
      </c>
    </row>
    <row r="3217" spans="1:6">
      <c r="A3217" s="1">
        <v>43800</v>
      </c>
      <c r="B3217" t="s">
        <v>3363</v>
      </c>
      <c r="C3217" t="s">
        <v>189</v>
      </c>
      <c r="D3217" t="s">
        <v>139</v>
      </c>
      <c r="E3217" t="s">
        <v>134</v>
      </c>
      <c r="F3217" s="2">
        <v>80</v>
      </c>
    </row>
    <row r="3218" spans="1:6">
      <c r="A3218" s="1">
        <v>43800</v>
      </c>
      <c r="B3218" t="s">
        <v>3364</v>
      </c>
      <c r="C3218" t="s">
        <v>136</v>
      </c>
      <c r="D3218" t="s">
        <v>141</v>
      </c>
      <c r="E3218" t="s">
        <v>127</v>
      </c>
      <c r="F3218" s="2">
        <v>180</v>
      </c>
    </row>
    <row r="3219" spans="1:6">
      <c r="A3219" s="1">
        <v>43800</v>
      </c>
      <c r="B3219" t="s">
        <v>3365</v>
      </c>
      <c r="C3219" t="s">
        <v>138</v>
      </c>
      <c r="D3219" t="s">
        <v>130</v>
      </c>
      <c r="E3219" t="s">
        <v>131</v>
      </c>
      <c r="F3219" s="2">
        <v>100</v>
      </c>
    </row>
    <row r="3220" spans="1:6">
      <c r="A3220" s="1">
        <v>43800</v>
      </c>
      <c r="B3220" t="s">
        <v>3366</v>
      </c>
      <c r="C3220" t="s">
        <v>119</v>
      </c>
      <c r="D3220" t="s">
        <v>126</v>
      </c>
      <c r="E3220" t="s">
        <v>127</v>
      </c>
      <c r="F3220" s="2">
        <v>160</v>
      </c>
    </row>
    <row r="3221" spans="1:6">
      <c r="A3221" s="1">
        <v>43800</v>
      </c>
      <c r="B3221" t="s">
        <v>3367</v>
      </c>
      <c r="C3221" t="s">
        <v>123</v>
      </c>
      <c r="D3221" t="s">
        <v>120</v>
      </c>
      <c r="E3221" t="s">
        <v>131</v>
      </c>
      <c r="F3221" s="2">
        <v>90</v>
      </c>
    </row>
    <row r="3222" spans="1:6">
      <c r="A3222" s="1">
        <v>43800</v>
      </c>
      <c r="B3222" t="s">
        <v>3368</v>
      </c>
      <c r="C3222" t="s">
        <v>167</v>
      </c>
      <c r="D3222" t="s">
        <v>141</v>
      </c>
      <c r="E3222" t="s">
        <v>121</v>
      </c>
      <c r="F3222" s="2">
        <v>180</v>
      </c>
    </row>
    <row r="3223" spans="1:6">
      <c r="A3223" s="1">
        <v>43800</v>
      </c>
      <c r="B3223" t="s">
        <v>3369</v>
      </c>
      <c r="C3223" t="s">
        <v>157</v>
      </c>
      <c r="D3223" t="s">
        <v>146</v>
      </c>
      <c r="E3223" t="s">
        <v>127</v>
      </c>
      <c r="F3223" s="2">
        <v>50</v>
      </c>
    </row>
    <row r="3224" spans="1:6">
      <c r="A3224" s="1">
        <v>43801</v>
      </c>
      <c r="B3224" t="s">
        <v>3370</v>
      </c>
      <c r="C3224" t="s">
        <v>182</v>
      </c>
      <c r="D3224" t="s">
        <v>130</v>
      </c>
      <c r="E3224" t="s">
        <v>134</v>
      </c>
      <c r="F3224" s="2">
        <v>100</v>
      </c>
    </row>
    <row r="3225" spans="1:6">
      <c r="A3225" s="1">
        <v>43801</v>
      </c>
      <c r="B3225" t="s">
        <v>3371</v>
      </c>
      <c r="C3225" t="s">
        <v>182</v>
      </c>
      <c r="D3225" t="s">
        <v>159</v>
      </c>
      <c r="E3225" t="s">
        <v>134</v>
      </c>
      <c r="F3225" s="2">
        <v>150</v>
      </c>
    </row>
    <row r="3226" spans="1:6">
      <c r="A3226" s="1">
        <v>43801</v>
      </c>
      <c r="B3226" t="s">
        <v>3372</v>
      </c>
      <c r="C3226" t="s">
        <v>187</v>
      </c>
      <c r="D3226" t="s">
        <v>139</v>
      </c>
      <c r="E3226" t="s">
        <v>153</v>
      </c>
      <c r="F3226" s="2">
        <v>80</v>
      </c>
    </row>
    <row r="3227" spans="1:6">
      <c r="A3227" s="1">
        <v>43801</v>
      </c>
      <c r="B3227" t="s">
        <v>3373</v>
      </c>
      <c r="C3227" t="s">
        <v>164</v>
      </c>
      <c r="D3227" t="s">
        <v>130</v>
      </c>
      <c r="E3227" t="s">
        <v>127</v>
      </c>
      <c r="F3227" s="2">
        <v>100</v>
      </c>
    </row>
    <row r="3228" spans="1:6">
      <c r="A3228" s="1">
        <v>43801</v>
      </c>
      <c r="B3228" t="s">
        <v>3374</v>
      </c>
      <c r="C3228" t="s">
        <v>187</v>
      </c>
      <c r="D3228" t="s">
        <v>159</v>
      </c>
      <c r="E3228" t="s">
        <v>131</v>
      </c>
      <c r="F3228" s="2">
        <v>150</v>
      </c>
    </row>
    <row r="3229" spans="1:6">
      <c r="A3229" s="1">
        <v>43801</v>
      </c>
      <c r="B3229" t="s">
        <v>3375</v>
      </c>
      <c r="C3229" t="s">
        <v>187</v>
      </c>
      <c r="D3229" t="s">
        <v>126</v>
      </c>
      <c r="E3229" t="s">
        <v>153</v>
      </c>
      <c r="F3229" s="2">
        <v>160</v>
      </c>
    </row>
    <row r="3230" spans="1:6">
      <c r="A3230" s="1">
        <v>43801</v>
      </c>
      <c r="B3230" t="s">
        <v>3376</v>
      </c>
      <c r="C3230" t="s">
        <v>152</v>
      </c>
      <c r="D3230" t="s">
        <v>133</v>
      </c>
      <c r="E3230" t="s">
        <v>121</v>
      </c>
      <c r="F3230" s="2">
        <v>30</v>
      </c>
    </row>
    <row r="3231" spans="1:6">
      <c r="A3231" s="1">
        <v>43801</v>
      </c>
      <c r="B3231" t="s">
        <v>3377</v>
      </c>
      <c r="C3231" t="s">
        <v>145</v>
      </c>
      <c r="D3231" t="s">
        <v>139</v>
      </c>
      <c r="E3231" t="s">
        <v>121</v>
      </c>
      <c r="F3231" s="2">
        <v>80</v>
      </c>
    </row>
    <row r="3232" spans="1:6">
      <c r="A3232" s="1">
        <v>43802</v>
      </c>
      <c r="B3232" t="s">
        <v>3378</v>
      </c>
      <c r="C3232" t="s">
        <v>182</v>
      </c>
      <c r="D3232" t="s">
        <v>133</v>
      </c>
      <c r="E3232" t="s">
        <v>127</v>
      </c>
      <c r="F3232" s="2">
        <v>30</v>
      </c>
    </row>
    <row r="3233" spans="1:6">
      <c r="A3233" s="1">
        <v>43802</v>
      </c>
      <c r="B3233" t="s">
        <v>3379</v>
      </c>
      <c r="C3233" t="s">
        <v>148</v>
      </c>
      <c r="D3233" t="s">
        <v>139</v>
      </c>
      <c r="E3233" t="s">
        <v>134</v>
      </c>
      <c r="F3233" s="2">
        <v>80</v>
      </c>
    </row>
    <row r="3234" spans="1:6">
      <c r="A3234" s="1">
        <v>43802</v>
      </c>
      <c r="B3234" t="s">
        <v>3380</v>
      </c>
      <c r="C3234" t="s">
        <v>223</v>
      </c>
      <c r="D3234" t="s">
        <v>126</v>
      </c>
      <c r="E3234" t="s">
        <v>121</v>
      </c>
      <c r="F3234" s="2">
        <v>160</v>
      </c>
    </row>
    <row r="3235" spans="1:6">
      <c r="A3235" s="1">
        <v>43802</v>
      </c>
      <c r="B3235" t="s">
        <v>3381</v>
      </c>
      <c r="C3235" t="s">
        <v>143</v>
      </c>
      <c r="D3235" t="s">
        <v>159</v>
      </c>
      <c r="E3235" t="s">
        <v>131</v>
      </c>
      <c r="F3235" s="2">
        <v>150</v>
      </c>
    </row>
    <row r="3236" spans="1:6">
      <c r="A3236" s="1">
        <v>43802</v>
      </c>
      <c r="B3236" t="s">
        <v>3382</v>
      </c>
      <c r="C3236" t="s">
        <v>119</v>
      </c>
      <c r="D3236" t="s">
        <v>141</v>
      </c>
      <c r="E3236" t="s">
        <v>127</v>
      </c>
      <c r="F3236" s="2">
        <v>180</v>
      </c>
    </row>
    <row r="3237" spans="1:6">
      <c r="A3237" s="1">
        <v>43802</v>
      </c>
      <c r="B3237" t="s">
        <v>3383</v>
      </c>
      <c r="C3237" t="s">
        <v>152</v>
      </c>
      <c r="D3237" t="s">
        <v>130</v>
      </c>
      <c r="E3237" t="s">
        <v>131</v>
      </c>
      <c r="F3237" s="2">
        <v>100</v>
      </c>
    </row>
    <row r="3238" spans="1:6">
      <c r="A3238" s="1">
        <v>43802</v>
      </c>
      <c r="B3238" t="s">
        <v>3384</v>
      </c>
      <c r="C3238" t="s">
        <v>157</v>
      </c>
      <c r="D3238" t="s">
        <v>120</v>
      </c>
      <c r="E3238" t="s">
        <v>134</v>
      </c>
      <c r="F3238" s="2">
        <v>90</v>
      </c>
    </row>
    <row r="3239" spans="1:6">
      <c r="A3239" s="1">
        <v>43802</v>
      </c>
      <c r="B3239" t="s">
        <v>3385</v>
      </c>
      <c r="C3239" t="s">
        <v>189</v>
      </c>
      <c r="D3239" t="s">
        <v>139</v>
      </c>
      <c r="E3239" t="s">
        <v>121</v>
      </c>
      <c r="F3239" s="2">
        <v>80</v>
      </c>
    </row>
    <row r="3240" spans="1:6">
      <c r="A3240" s="1">
        <v>43802</v>
      </c>
      <c r="B3240" t="s">
        <v>3386</v>
      </c>
      <c r="C3240" t="s">
        <v>182</v>
      </c>
      <c r="D3240" t="s">
        <v>141</v>
      </c>
      <c r="E3240" t="s">
        <v>131</v>
      </c>
      <c r="F3240" s="2">
        <v>180</v>
      </c>
    </row>
    <row r="3241" spans="1:6">
      <c r="A3241" s="1">
        <v>43802</v>
      </c>
      <c r="B3241" t="s">
        <v>3387</v>
      </c>
      <c r="C3241" t="s">
        <v>143</v>
      </c>
      <c r="D3241" t="s">
        <v>146</v>
      </c>
      <c r="E3241" t="s">
        <v>153</v>
      </c>
      <c r="F3241" s="2">
        <v>50</v>
      </c>
    </row>
    <row r="3242" spans="1:6">
      <c r="A3242" s="1">
        <v>43802</v>
      </c>
      <c r="B3242" t="s">
        <v>3388</v>
      </c>
      <c r="C3242" t="s">
        <v>182</v>
      </c>
      <c r="D3242" t="s">
        <v>130</v>
      </c>
      <c r="E3242" t="s">
        <v>153</v>
      </c>
      <c r="F3242" s="2">
        <v>100</v>
      </c>
    </row>
    <row r="3243" spans="1:6">
      <c r="A3243" s="1">
        <v>43802</v>
      </c>
      <c r="B3243" t="s">
        <v>3389</v>
      </c>
      <c r="C3243" t="s">
        <v>189</v>
      </c>
      <c r="D3243" t="s">
        <v>120</v>
      </c>
      <c r="E3243" t="s">
        <v>127</v>
      </c>
      <c r="F3243" s="2">
        <v>90</v>
      </c>
    </row>
    <row r="3244" spans="1:6">
      <c r="A3244" s="1">
        <v>43802</v>
      </c>
      <c r="B3244" t="s">
        <v>3390</v>
      </c>
      <c r="C3244" t="s">
        <v>148</v>
      </c>
      <c r="D3244" t="s">
        <v>146</v>
      </c>
      <c r="E3244" t="s">
        <v>153</v>
      </c>
      <c r="F3244" s="2">
        <v>50</v>
      </c>
    </row>
    <row r="3245" spans="1:6">
      <c r="A3245" s="1">
        <v>43803</v>
      </c>
      <c r="B3245" t="s">
        <v>3391</v>
      </c>
      <c r="C3245" t="s">
        <v>119</v>
      </c>
      <c r="D3245" t="s">
        <v>133</v>
      </c>
      <c r="E3245" t="s">
        <v>121</v>
      </c>
      <c r="F3245" s="2">
        <v>30</v>
      </c>
    </row>
    <row r="3246" spans="1:6">
      <c r="A3246" s="1">
        <v>43803</v>
      </c>
      <c r="B3246" t="s">
        <v>3392</v>
      </c>
      <c r="C3246" t="s">
        <v>164</v>
      </c>
      <c r="D3246" t="s">
        <v>126</v>
      </c>
      <c r="E3246" t="s">
        <v>127</v>
      </c>
      <c r="F3246" s="2">
        <v>160</v>
      </c>
    </row>
    <row r="3247" spans="1:6">
      <c r="A3247" s="1">
        <v>43803</v>
      </c>
      <c r="B3247" t="s">
        <v>3393</v>
      </c>
      <c r="C3247" t="s">
        <v>129</v>
      </c>
      <c r="D3247" t="s">
        <v>146</v>
      </c>
      <c r="E3247" t="s">
        <v>153</v>
      </c>
      <c r="F3247" s="2">
        <v>50</v>
      </c>
    </row>
    <row r="3248" spans="1:6">
      <c r="A3248" s="1">
        <v>43803</v>
      </c>
      <c r="B3248" t="s">
        <v>3394</v>
      </c>
      <c r="C3248" t="s">
        <v>136</v>
      </c>
      <c r="D3248" t="s">
        <v>139</v>
      </c>
      <c r="E3248" t="s">
        <v>153</v>
      </c>
      <c r="F3248" s="2">
        <v>80</v>
      </c>
    </row>
    <row r="3249" spans="1:6">
      <c r="A3249" s="1">
        <v>43803</v>
      </c>
      <c r="B3249" t="s">
        <v>3395</v>
      </c>
      <c r="C3249" t="s">
        <v>125</v>
      </c>
      <c r="D3249" t="s">
        <v>146</v>
      </c>
      <c r="E3249" t="s">
        <v>131</v>
      </c>
      <c r="F3249" s="2">
        <v>50</v>
      </c>
    </row>
    <row r="3250" spans="1:6">
      <c r="A3250" s="1">
        <v>43803</v>
      </c>
      <c r="B3250" t="s">
        <v>3396</v>
      </c>
      <c r="C3250" t="s">
        <v>145</v>
      </c>
      <c r="D3250" t="s">
        <v>141</v>
      </c>
      <c r="E3250" t="s">
        <v>134</v>
      </c>
      <c r="F3250" s="2">
        <v>180</v>
      </c>
    </row>
    <row r="3251" spans="1:6">
      <c r="A3251" s="1">
        <v>43803</v>
      </c>
      <c r="B3251" t="s">
        <v>3397</v>
      </c>
      <c r="C3251" t="s">
        <v>157</v>
      </c>
      <c r="D3251" t="s">
        <v>141</v>
      </c>
      <c r="E3251" t="s">
        <v>127</v>
      </c>
      <c r="F3251" s="2">
        <v>180</v>
      </c>
    </row>
    <row r="3252" spans="1:6">
      <c r="A3252" s="1">
        <v>43803</v>
      </c>
      <c r="B3252" t="s">
        <v>3398</v>
      </c>
      <c r="C3252" t="s">
        <v>143</v>
      </c>
      <c r="D3252" t="s">
        <v>130</v>
      </c>
      <c r="E3252" t="s">
        <v>153</v>
      </c>
      <c r="F3252" s="2">
        <v>100</v>
      </c>
    </row>
    <row r="3253" spans="1:6">
      <c r="A3253" s="1">
        <v>43803</v>
      </c>
      <c r="B3253" t="s">
        <v>3399</v>
      </c>
      <c r="C3253" t="s">
        <v>136</v>
      </c>
      <c r="D3253" t="s">
        <v>133</v>
      </c>
      <c r="E3253" t="s">
        <v>134</v>
      </c>
      <c r="F3253" s="2">
        <v>30</v>
      </c>
    </row>
    <row r="3254" spans="1:6">
      <c r="A3254" s="1">
        <v>43803</v>
      </c>
      <c r="B3254" t="s">
        <v>3400</v>
      </c>
      <c r="C3254" t="s">
        <v>145</v>
      </c>
      <c r="D3254" t="s">
        <v>141</v>
      </c>
      <c r="E3254" t="s">
        <v>127</v>
      </c>
      <c r="F3254" s="2">
        <v>180</v>
      </c>
    </row>
    <row r="3255" spans="1:6">
      <c r="A3255" s="1">
        <v>43804</v>
      </c>
      <c r="B3255" t="s">
        <v>3401</v>
      </c>
      <c r="C3255" t="s">
        <v>125</v>
      </c>
      <c r="D3255" t="s">
        <v>159</v>
      </c>
      <c r="E3255" t="s">
        <v>121</v>
      </c>
      <c r="F3255" s="2">
        <v>150</v>
      </c>
    </row>
    <row r="3256" spans="1:6">
      <c r="A3256" s="1">
        <v>43804</v>
      </c>
      <c r="B3256" t="s">
        <v>3402</v>
      </c>
      <c r="C3256" t="s">
        <v>143</v>
      </c>
      <c r="D3256" t="s">
        <v>133</v>
      </c>
      <c r="E3256" t="s">
        <v>134</v>
      </c>
      <c r="F3256" s="2">
        <v>30</v>
      </c>
    </row>
    <row r="3257" spans="1:6">
      <c r="A3257" s="1">
        <v>43804</v>
      </c>
      <c r="B3257" t="s">
        <v>3403</v>
      </c>
      <c r="C3257" t="s">
        <v>167</v>
      </c>
      <c r="D3257" t="s">
        <v>139</v>
      </c>
      <c r="E3257" t="s">
        <v>127</v>
      </c>
      <c r="F3257" s="2">
        <v>80</v>
      </c>
    </row>
    <row r="3258" spans="1:6">
      <c r="A3258" s="1">
        <v>43804</v>
      </c>
      <c r="B3258" t="s">
        <v>3404</v>
      </c>
      <c r="C3258" t="s">
        <v>143</v>
      </c>
      <c r="D3258" t="s">
        <v>159</v>
      </c>
      <c r="E3258" t="s">
        <v>121</v>
      </c>
      <c r="F3258" s="2">
        <v>150</v>
      </c>
    </row>
    <row r="3259" spans="1:6">
      <c r="A3259" s="1">
        <v>43804</v>
      </c>
      <c r="B3259" t="s">
        <v>3405</v>
      </c>
      <c r="C3259" t="s">
        <v>143</v>
      </c>
      <c r="D3259" t="s">
        <v>126</v>
      </c>
      <c r="E3259" t="s">
        <v>127</v>
      </c>
      <c r="F3259" s="2">
        <v>160</v>
      </c>
    </row>
    <row r="3260" spans="1:6">
      <c r="A3260" s="1">
        <v>43804</v>
      </c>
      <c r="B3260" t="s">
        <v>3406</v>
      </c>
      <c r="C3260" t="s">
        <v>136</v>
      </c>
      <c r="D3260" t="s">
        <v>139</v>
      </c>
      <c r="E3260" t="s">
        <v>134</v>
      </c>
      <c r="F3260" s="2">
        <v>80</v>
      </c>
    </row>
    <row r="3261" spans="1:6">
      <c r="A3261" s="1">
        <v>43804</v>
      </c>
      <c r="B3261" t="s">
        <v>3407</v>
      </c>
      <c r="C3261" t="s">
        <v>223</v>
      </c>
      <c r="D3261" t="s">
        <v>141</v>
      </c>
      <c r="E3261" t="s">
        <v>127</v>
      </c>
      <c r="F3261" s="2">
        <v>180</v>
      </c>
    </row>
    <row r="3262" spans="1:6">
      <c r="A3262" s="1">
        <v>43804</v>
      </c>
      <c r="B3262" t="s">
        <v>3408</v>
      </c>
      <c r="C3262" t="s">
        <v>164</v>
      </c>
      <c r="D3262" t="s">
        <v>146</v>
      </c>
      <c r="E3262" t="s">
        <v>134</v>
      </c>
      <c r="F3262" s="2">
        <v>50</v>
      </c>
    </row>
    <row r="3263" spans="1:6">
      <c r="A3263" s="1">
        <v>43804</v>
      </c>
      <c r="B3263" t="s">
        <v>3409</v>
      </c>
      <c r="C3263" t="s">
        <v>152</v>
      </c>
      <c r="D3263" t="s">
        <v>146</v>
      </c>
      <c r="E3263" t="s">
        <v>153</v>
      </c>
      <c r="F3263" s="2">
        <v>50</v>
      </c>
    </row>
    <row r="3264" spans="1:6">
      <c r="A3264" s="1">
        <v>43804</v>
      </c>
      <c r="B3264" t="s">
        <v>3410</v>
      </c>
      <c r="C3264" t="s">
        <v>187</v>
      </c>
      <c r="D3264" t="s">
        <v>120</v>
      </c>
      <c r="E3264" t="s">
        <v>121</v>
      </c>
      <c r="F3264" s="2">
        <v>90</v>
      </c>
    </row>
    <row r="3265" spans="1:6">
      <c r="A3265" s="1">
        <v>43804</v>
      </c>
      <c r="B3265" t="s">
        <v>3411</v>
      </c>
      <c r="C3265" t="s">
        <v>148</v>
      </c>
      <c r="D3265" t="s">
        <v>130</v>
      </c>
      <c r="E3265" t="s">
        <v>134</v>
      </c>
      <c r="F3265" s="2">
        <v>100</v>
      </c>
    </row>
    <row r="3266" spans="1:6">
      <c r="A3266" s="1">
        <v>43804</v>
      </c>
      <c r="B3266" t="s">
        <v>3412</v>
      </c>
      <c r="C3266" t="s">
        <v>182</v>
      </c>
      <c r="D3266" t="s">
        <v>146</v>
      </c>
      <c r="E3266" t="s">
        <v>131</v>
      </c>
      <c r="F3266" s="2">
        <v>50</v>
      </c>
    </row>
    <row r="3267" spans="1:6">
      <c r="A3267" s="1">
        <v>43805</v>
      </c>
      <c r="B3267" t="s">
        <v>3413</v>
      </c>
      <c r="C3267" t="s">
        <v>129</v>
      </c>
      <c r="D3267" t="s">
        <v>146</v>
      </c>
      <c r="E3267" t="s">
        <v>153</v>
      </c>
      <c r="F3267" s="2">
        <v>50</v>
      </c>
    </row>
    <row r="3268" spans="1:6">
      <c r="A3268" s="1">
        <v>43805</v>
      </c>
      <c r="B3268" t="s">
        <v>3414</v>
      </c>
      <c r="C3268" t="s">
        <v>164</v>
      </c>
      <c r="D3268" t="s">
        <v>126</v>
      </c>
      <c r="E3268" t="s">
        <v>131</v>
      </c>
      <c r="F3268" s="2">
        <v>160</v>
      </c>
    </row>
    <row r="3269" spans="1:6">
      <c r="A3269" s="1">
        <v>43805</v>
      </c>
      <c r="B3269" t="s">
        <v>3415</v>
      </c>
      <c r="C3269" t="s">
        <v>119</v>
      </c>
      <c r="D3269" t="s">
        <v>159</v>
      </c>
      <c r="E3269" t="s">
        <v>127</v>
      </c>
      <c r="F3269" s="2">
        <v>150</v>
      </c>
    </row>
    <row r="3270" spans="1:6">
      <c r="A3270" s="1">
        <v>43805</v>
      </c>
      <c r="B3270" t="s">
        <v>3416</v>
      </c>
      <c r="C3270" t="s">
        <v>152</v>
      </c>
      <c r="D3270" t="s">
        <v>146</v>
      </c>
      <c r="E3270" t="s">
        <v>121</v>
      </c>
      <c r="F3270" s="2">
        <v>50</v>
      </c>
    </row>
    <row r="3271" spans="1:6">
      <c r="A3271" s="1">
        <v>43805</v>
      </c>
      <c r="B3271" t="s">
        <v>3417</v>
      </c>
      <c r="C3271" t="s">
        <v>148</v>
      </c>
      <c r="D3271" t="s">
        <v>126</v>
      </c>
      <c r="E3271" t="s">
        <v>131</v>
      </c>
      <c r="F3271" s="2">
        <v>160</v>
      </c>
    </row>
    <row r="3272" spans="1:6">
      <c r="A3272" s="1">
        <v>43805</v>
      </c>
      <c r="B3272" t="s">
        <v>3418</v>
      </c>
      <c r="C3272" t="s">
        <v>152</v>
      </c>
      <c r="D3272" t="s">
        <v>130</v>
      </c>
      <c r="E3272" t="s">
        <v>131</v>
      </c>
      <c r="F3272" s="2">
        <v>100</v>
      </c>
    </row>
    <row r="3273" spans="1:6">
      <c r="A3273" s="1">
        <v>43805</v>
      </c>
      <c r="B3273" t="s">
        <v>3419</v>
      </c>
      <c r="C3273" t="s">
        <v>145</v>
      </c>
      <c r="D3273" t="s">
        <v>146</v>
      </c>
      <c r="E3273" t="s">
        <v>131</v>
      </c>
      <c r="F3273" s="2">
        <v>50</v>
      </c>
    </row>
    <row r="3274" spans="1:6">
      <c r="A3274" s="1">
        <v>43806</v>
      </c>
      <c r="B3274" t="s">
        <v>3420</v>
      </c>
      <c r="C3274" t="s">
        <v>189</v>
      </c>
      <c r="D3274" t="s">
        <v>120</v>
      </c>
      <c r="E3274" t="s">
        <v>121</v>
      </c>
      <c r="F3274" s="2">
        <v>90</v>
      </c>
    </row>
    <row r="3275" spans="1:6">
      <c r="A3275" s="1">
        <v>43806</v>
      </c>
      <c r="B3275" t="s">
        <v>3421</v>
      </c>
      <c r="C3275" t="s">
        <v>182</v>
      </c>
      <c r="D3275" t="s">
        <v>146</v>
      </c>
      <c r="E3275" t="s">
        <v>131</v>
      </c>
      <c r="F3275" s="2">
        <v>50</v>
      </c>
    </row>
    <row r="3276" spans="1:6">
      <c r="A3276" s="1">
        <v>43806</v>
      </c>
      <c r="B3276" t="s">
        <v>3422</v>
      </c>
      <c r="C3276" t="s">
        <v>123</v>
      </c>
      <c r="D3276" t="s">
        <v>139</v>
      </c>
      <c r="E3276" t="s">
        <v>153</v>
      </c>
      <c r="F3276" s="2">
        <v>80</v>
      </c>
    </row>
    <row r="3277" spans="1:6">
      <c r="A3277" s="1">
        <v>43806</v>
      </c>
      <c r="B3277" t="s">
        <v>3423</v>
      </c>
      <c r="C3277" t="s">
        <v>143</v>
      </c>
      <c r="D3277" t="s">
        <v>120</v>
      </c>
      <c r="E3277" t="s">
        <v>134</v>
      </c>
      <c r="F3277" s="2">
        <v>90</v>
      </c>
    </row>
    <row r="3278" spans="1:6">
      <c r="A3278" s="1">
        <v>43806</v>
      </c>
      <c r="B3278" t="s">
        <v>3424</v>
      </c>
      <c r="C3278" t="s">
        <v>182</v>
      </c>
      <c r="D3278" t="s">
        <v>159</v>
      </c>
      <c r="E3278" t="s">
        <v>131</v>
      </c>
      <c r="F3278" s="2">
        <v>150</v>
      </c>
    </row>
    <row r="3279" spans="1:6">
      <c r="A3279" s="1">
        <v>43806</v>
      </c>
      <c r="B3279" t="s">
        <v>3425</v>
      </c>
      <c r="C3279" t="s">
        <v>148</v>
      </c>
      <c r="D3279" t="s">
        <v>120</v>
      </c>
      <c r="E3279" t="s">
        <v>134</v>
      </c>
      <c r="F3279" s="2">
        <v>90</v>
      </c>
    </row>
    <row r="3280" spans="1:6">
      <c r="A3280" s="1">
        <v>43806</v>
      </c>
      <c r="B3280" t="s">
        <v>3426</v>
      </c>
      <c r="C3280" t="s">
        <v>125</v>
      </c>
      <c r="D3280" t="s">
        <v>146</v>
      </c>
      <c r="E3280" t="s">
        <v>131</v>
      </c>
      <c r="F3280" s="2">
        <v>50</v>
      </c>
    </row>
    <row r="3281" spans="1:6">
      <c r="A3281" s="1">
        <v>43806</v>
      </c>
      <c r="B3281" t="s">
        <v>3427</v>
      </c>
      <c r="C3281" t="s">
        <v>152</v>
      </c>
      <c r="D3281" t="s">
        <v>141</v>
      </c>
      <c r="E3281" t="s">
        <v>131</v>
      </c>
      <c r="F3281" s="2">
        <v>180</v>
      </c>
    </row>
    <row r="3282" spans="1:6">
      <c r="A3282" s="1">
        <v>43806</v>
      </c>
      <c r="B3282" t="s">
        <v>3428</v>
      </c>
      <c r="C3282" t="s">
        <v>129</v>
      </c>
      <c r="D3282" t="s">
        <v>141</v>
      </c>
      <c r="E3282" t="s">
        <v>127</v>
      </c>
      <c r="F3282" s="2">
        <v>180</v>
      </c>
    </row>
    <row r="3283" spans="1:6">
      <c r="A3283" s="1">
        <v>43807</v>
      </c>
      <c r="B3283" t="s">
        <v>3429</v>
      </c>
      <c r="C3283" t="s">
        <v>167</v>
      </c>
      <c r="D3283" t="s">
        <v>133</v>
      </c>
      <c r="E3283" t="s">
        <v>127</v>
      </c>
      <c r="F3283" s="2">
        <v>30</v>
      </c>
    </row>
    <row r="3284" spans="1:6">
      <c r="A3284" s="1">
        <v>43807</v>
      </c>
      <c r="B3284" t="s">
        <v>3430</v>
      </c>
      <c r="C3284" t="s">
        <v>129</v>
      </c>
      <c r="D3284" t="s">
        <v>130</v>
      </c>
      <c r="E3284" t="s">
        <v>121</v>
      </c>
      <c r="F3284" s="2">
        <v>100</v>
      </c>
    </row>
    <row r="3285" spans="1:6">
      <c r="A3285" s="1">
        <v>43807</v>
      </c>
      <c r="B3285" t="s">
        <v>3431</v>
      </c>
      <c r="C3285" t="s">
        <v>119</v>
      </c>
      <c r="D3285" t="s">
        <v>159</v>
      </c>
      <c r="E3285" t="s">
        <v>134</v>
      </c>
      <c r="F3285" s="2">
        <v>150</v>
      </c>
    </row>
    <row r="3286" spans="1:6">
      <c r="A3286" s="1">
        <v>43807</v>
      </c>
      <c r="B3286" t="s">
        <v>3432</v>
      </c>
      <c r="C3286" t="s">
        <v>157</v>
      </c>
      <c r="D3286" t="s">
        <v>133</v>
      </c>
      <c r="E3286" t="s">
        <v>153</v>
      </c>
      <c r="F3286" s="2">
        <v>30</v>
      </c>
    </row>
    <row r="3287" spans="1:6">
      <c r="A3287" s="1">
        <v>43807</v>
      </c>
      <c r="B3287" t="s">
        <v>3433</v>
      </c>
      <c r="C3287" t="s">
        <v>187</v>
      </c>
      <c r="D3287" t="s">
        <v>141</v>
      </c>
      <c r="E3287" t="s">
        <v>121</v>
      </c>
      <c r="F3287" s="2">
        <v>180</v>
      </c>
    </row>
    <row r="3288" spans="1:6">
      <c r="A3288" s="1">
        <v>43807</v>
      </c>
      <c r="B3288" t="s">
        <v>3434</v>
      </c>
      <c r="C3288" t="s">
        <v>125</v>
      </c>
      <c r="D3288" t="s">
        <v>159</v>
      </c>
      <c r="E3288" t="s">
        <v>134</v>
      </c>
      <c r="F3288" s="2">
        <v>150</v>
      </c>
    </row>
    <row r="3289" spans="1:6">
      <c r="A3289" s="1">
        <v>43807</v>
      </c>
      <c r="B3289" t="s">
        <v>3435</v>
      </c>
      <c r="C3289" t="s">
        <v>125</v>
      </c>
      <c r="D3289" t="s">
        <v>120</v>
      </c>
      <c r="E3289" t="s">
        <v>121</v>
      </c>
      <c r="F3289" s="2">
        <v>90</v>
      </c>
    </row>
    <row r="3290" spans="1:6">
      <c r="A3290" s="1">
        <v>43807</v>
      </c>
      <c r="B3290" t="s">
        <v>3436</v>
      </c>
      <c r="C3290" t="s">
        <v>123</v>
      </c>
      <c r="D3290" t="s">
        <v>126</v>
      </c>
      <c r="E3290" t="s">
        <v>131</v>
      </c>
      <c r="F3290" s="2">
        <v>160</v>
      </c>
    </row>
    <row r="3291" spans="1:6">
      <c r="A3291" s="1">
        <v>43807</v>
      </c>
      <c r="B3291" t="s">
        <v>3437</v>
      </c>
      <c r="C3291" t="s">
        <v>136</v>
      </c>
      <c r="D3291" t="s">
        <v>159</v>
      </c>
      <c r="E3291" t="s">
        <v>127</v>
      </c>
      <c r="F3291" s="2">
        <v>150</v>
      </c>
    </row>
    <row r="3292" spans="1:6">
      <c r="A3292" s="1">
        <v>43807</v>
      </c>
      <c r="B3292" t="s">
        <v>3438</v>
      </c>
      <c r="C3292" t="s">
        <v>187</v>
      </c>
      <c r="D3292" t="s">
        <v>141</v>
      </c>
      <c r="E3292" t="s">
        <v>131</v>
      </c>
      <c r="F3292" s="2">
        <v>180</v>
      </c>
    </row>
    <row r="3293" spans="1:6">
      <c r="A3293" s="1">
        <v>43807</v>
      </c>
      <c r="B3293" t="s">
        <v>3439</v>
      </c>
      <c r="C3293" t="s">
        <v>223</v>
      </c>
      <c r="D3293" t="s">
        <v>141</v>
      </c>
      <c r="E3293" t="s">
        <v>153</v>
      </c>
      <c r="F3293" s="2">
        <v>180</v>
      </c>
    </row>
    <row r="3294" spans="1:6">
      <c r="A3294" s="1">
        <v>43807</v>
      </c>
      <c r="B3294" t="s">
        <v>3440</v>
      </c>
      <c r="C3294" t="s">
        <v>125</v>
      </c>
      <c r="D3294" t="s">
        <v>141</v>
      </c>
      <c r="E3294" t="s">
        <v>134</v>
      </c>
      <c r="F3294" s="2">
        <v>180</v>
      </c>
    </row>
    <row r="3295" spans="1:6">
      <c r="A3295" s="1">
        <v>43807</v>
      </c>
      <c r="B3295" t="s">
        <v>3441</v>
      </c>
      <c r="C3295" t="s">
        <v>187</v>
      </c>
      <c r="D3295" t="s">
        <v>141</v>
      </c>
      <c r="E3295" t="s">
        <v>121</v>
      </c>
      <c r="F3295" s="2">
        <v>180</v>
      </c>
    </row>
    <row r="3296" spans="1:6">
      <c r="A3296" s="1">
        <v>43808</v>
      </c>
      <c r="B3296" t="s">
        <v>3442</v>
      </c>
      <c r="C3296" t="s">
        <v>164</v>
      </c>
      <c r="D3296" t="s">
        <v>130</v>
      </c>
      <c r="E3296" t="s">
        <v>121</v>
      </c>
      <c r="F3296" s="2">
        <v>100</v>
      </c>
    </row>
    <row r="3297" spans="1:6">
      <c r="A3297" s="1">
        <v>43808</v>
      </c>
      <c r="B3297" t="s">
        <v>3443</v>
      </c>
      <c r="C3297" t="s">
        <v>152</v>
      </c>
      <c r="D3297" t="s">
        <v>120</v>
      </c>
      <c r="E3297" t="s">
        <v>134</v>
      </c>
      <c r="F3297" s="2">
        <v>90</v>
      </c>
    </row>
    <row r="3298" spans="1:6">
      <c r="A3298" s="1">
        <v>43808</v>
      </c>
      <c r="B3298" t="s">
        <v>3444</v>
      </c>
      <c r="C3298" t="s">
        <v>167</v>
      </c>
      <c r="D3298" t="s">
        <v>130</v>
      </c>
      <c r="E3298" t="s">
        <v>127</v>
      </c>
      <c r="F3298" s="2">
        <v>100</v>
      </c>
    </row>
    <row r="3299" spans="1:6">
      <c r="A3299" s="1">
        <v>43808</v>
      </c>
      <c r="B3299" t="s">
        <v>3445</v>
      </c>
      <c r="C3299" t="s">
        <v>125</v>
      </c>
      <c r="D3299" t="s">
        <v>133</v>
      </c>
      <c r="E3299" t="s">
        <v>153</v>
      </c>
      <c r="F3299" s="2">
        <v>30</v>
      </c>
    </row>
    <row r="3300" spans="1:6">
      <c r="A3300" s="1">
        <v>43808</v>
      </c>
      <c r="B3300" t="s">
        <v>3446</v>
      </c>
      <c r="C3300" t="s">
        <v>123</v>
      </c>
      <c r="D3300" t="s">
        <v>141</v>
      </c>
      <c r="E3300" t="s">
        <v>131</v>
      </c>
      <c r="F3300" s="2">
        <v>180</v>
      </c>
    </row>
    <row r="3301" spans="1:6">
      <c r="A3301" s="1">
        <v>43808</v>
      </c>
      <c r="B3301" t="s">
        <v>3447</v>
      </c>
      <c r="C3301" t="s">
        <v>187</v>
      </c>
      <c r="D3301" t="s">
        <v>159</v>
      </c>
      <c r="E3301" t="s">
        <v>121</v>
      </c>
      <c r="F3301" s="2">
        <v>150</v>
      </c>
    </row>
    <row r="3302" spans="1:6">
      <c r="A3302" s="1">
        <v>43809</v>
      </c>
      <c r="B3302" t="s">
        <v>3448</v>
      </c>
      <c r="C3302" t="s">
        <v>119</v>
      </c>
      <c r="D3302" t="s">
        <v>141</v>
      </c>
      <c r="E3302" t="s">
        <v>121</v>
      </c>
      <c r="F3302" s="2">
        <v>180</v>
      </c>
    </row>
    <row r="3303" spans="1:6">
      <c r="A3303" s="1">
        <v>43809</v>
      </c>
      <c r="B3303" t="s">
        <v>3449</v>
      </c>
      <c r="C3303" t="s">
        <v>123</v>
      </c>
      <c r="D3303" t="s">
        <v>130</v>
      </c>
      <c r="E3303" t="s">
        <v>153</v>
      </c>
      <c r="F3303" s="2">
        <v>100</v>
      </c>
    </row>
    <row r="3304" spans="1:6">
      <c r="A3304" s="1">
        <v>43809</v>
      </c>
      <c r="B3304" t="s">
        <v>3450</v>
      </c>
      <c r="C3304" t="s">
        <v>125</v>
      </c>
      <c r="D3304" t="s">
        <v>146</v>
      </c>
      <c r="E3304" t="s">
        <v>127</v>
      </c>
      <c r="F3304" s="2">
        <v>50</v>
      </c>
    </row>
    <row r="3305" spans="1:6">
      <c r="A3305" s="1">
        <v>43809</v>
      </c>
      <c r="B3305" t="s">
        <v>3451</v>
      </c>
      <c r="C3305" t="s">
        <v>138</v>
      </c>
      <c r="D3305" t="s">
        <v>139</v>
      </c>
      <c r="E3305" t="s">
        <v>131</v>
      </c>
      <c r="F3305" s="2">
        <v>80</v>
      </c>
    </row>
    <row r="3306" spans="1:6">
      <c r="A3306" s="1">
        <v>43809</v>
      </c>
      <c r="B3306" t="s">
        <v>3452</v>
      </c>
      <c r="C3306" t="s">
        <v>143</v>
      </c>
      <c r="D3306" t="s">
        <v>133</v>
      </c>
      <c r="E3306" t="s">
        <v>131</v>
      </c>
      <c r="F3306" s="2">
        <v>30</v>
      </c>
    </row>
    <row r="3307" spans="1:6">
      <c r="A3307" s="1">
        <v>43809</v>
      </c>
      <c r="B3307" t="s">
        <v>3453</v>
      </c>
      <c r="C3307" t="s">
        <v>164</v>
      </c>
      <c r="D3307" t="s">
        <v>126</v>
      </c>
      <c r="E3307" t="s">
        <v>127</v>
      </c>
      <c r="F3307" s="2">
        <v>160</v>
      </c>
    </row>
    <row r="3308" spans="1:6">
      <c r="A3308" s="1">
        <v>43809</v>
      </c>
      <c r="B3308" t="s">
        <v>3454</v>
      </c>
      <c r="C3308" t="s">
        <v>223</v>
      </c>
      <c r="D3308" t="s">
        <v>130</v>
      </c>
      <c r="E3308" t="s">
        <v>134</v>
      </c>
      <c r="F3308" s="2">
        <v>100</v>
      </c>
    </row>
    <row r="3309" spans="1:6">
      <c r="A3309" s="1">
        <v>43809</v>
      </c>
      <c r="B3309" t="s">
        <v>3455</v>
      </c>
      <c r="C3309" t="s">
        <v>123</v>
      </c>
      <c r="D3309" t="s">
        <v>139</v>
      </c>
      <c r="E3309" t="s">
        <v>127</v>
      </c>
      <c r="F3309" s="2">
        <v>80</v>
      </c>
    </row>
    <row r="3310" spans="1:6">
      <c r="A3310" s="1">
        <v>43809</v>
      </c>
      <c r="B3310" t="s">
        <v>3456</v>
      </c>
      <c r="C3310" t="s">
        <v>123</v>
      </c>
      <c r="D3310" t="s">
        <v>146</v>
      </c>
      <c r="E3310" t="s">
        <v>121</v>
      </c>
      <c r="F3310" s="2">
        <v>50</v>
      </c>
    </row>
    <row r="3311" spans="1:6">
      <c r="A3311" s="1">
        <v>43809</v>
      </c>
      <c r="B3311" t="s">
        <v>3457</v>
      </c>
      <c r="C3311" t="s">
        <v>145</v>
      </c>
      <c r="D3311" t="s">
        <v>120</v>
      </c>
      <c r="E3311" t="s">
        <v>121</v>
      </c>
      <c r="F3311" s="2">
        <v>90</v>
      </c>
    </row>
    <row r="3312" spans="1:6">
      <c r="A3312" s="1">
        <v>43809</v>
      </c>
      <c r="B3312" t="s">
        <v>3458</v>
      </c>
      <c r="C3312" t="s">
        <v>138</v>
      </c>
      <c r="D3312" t="s">
        <v>139</v>
      </c>
      <c r="E3312" t="s">
        <v>127</v>
      </c>
      <c r="F3312" s="2">
        <v>80</v>
      </c>
    </row>
    <row r="3313" spans="1:6">
      <c r="A3313" s="1">
        <v>43809</v>
      </c>
      <c r="B3313" t="s">
        <v>3459</v>
      </c>
      <c r="C3313" t="s">
        <v>223</v>
      </c>
      <c r="D3313" t="s">
        <v>133</v>
      </c>
      <c r="E3313" t="s">
        <v>131</v>
      </c>
      <c r="F3313" s="2">
        <v>30</v>
      </c>
    </row>
    <row r="3314" spans="1:6">
      <c r="A3314" s="1">
        <v>43810</v>
      </c>
      <c r="B3314" t="s">
        <v>3460</v>
      </c>
      <c r="C3314" t="s">
        <v>182</v>
      </c>
      <c r="D3314" t="s">
        <v>130</v>
      </c>
      <c r="E3314" t="s">
        <v>153</v>
      </c>
      <c r="F3314" s="2">
        <v>100</v>
      </c>
    </row>
    <row r="3315" spans="1:6">
      <c r="A3315" s="1">
        <v>43810</v>
      </c>
      <c r="B3315" t="s">
        <v>3461</v>
      </c>
      <c r="C3315" t="s">
        <v>223</v>
      </c>
      <c r="D3315" t="s">
        <v>133</v>
      </c>
      <c r="E3315" t="s">
        <v>121</v>
      </c>
      <c r="F3315" s="2">
        <v>30</v>
      </c>
    </row>
    <row r="3316" spans="1:6">
      <c r="A3316" s="1">
        <v>43810</v>
      </c>
      <c r="B3316" t="s">
        <v>3462</v>
      </c>
      <c r="C3316" t="s">
        <v>167</v>
      </c>
      <c r="D3316" t="s">
        <v>141</v>
      </c>
      <c r="E3316" t="s">
        <v>131</v>
      </c>
      <c r="F3316" s="2">
        <v>180</v>
      </c>
    </row>
    <row r="3317" spans="1:6">
      <c r="A3317" s="1">
        <v>43810</v>
      </c>
      <c r="B3317" t="s">
        <v>3463</v>
      </c>
      <c r="C3317" t="s">
        <v>123</v>
      </c>
      <c r="D3317" t="s">
        <v>133</v>
      </c>
      <c r="E3317" t="s">
        <v>127</v>
      </c>
      <c r="F3317" s="2">
        <v>30</v>
      </c>
    </row>
    <row r="3318" spans="1:6">
      <c r="A3318" s="1">
        <v>43810</v>
      </c>
      <c r="B3318" t="s">
        <v>3464</v>
      </c>
      <c r="C3318" t="s">
        <v>223</v>
      </c>
      <c r="D3318" t="s">
        <v>141</v>
      </c>
      <c r="E3318" t="s">
        <v>121</v>
      </c>
      <c r="F3318" s="2">
        <v>180</v>
      </c>
    </row>
    <row r="3319" spans="1:6">
      <c r="A3319" s="1">
        <v>43810</v>
      </c>
      <c r="B3319" t="s">
        <v>3465</v>
      </c>
      <c r="C3319" t="s">
        <v>136</v>
      </c>
      <c r="D3319" t="s">
        <v>141</v>
      </c>
      <c r="E3319" t="s">
        <v>127</v>
      </c>
      <c r="F3319" s="2">
        <v>180</v>
      </c>
    </row>
    <row r="3320" spans="1:6">
      <c r="A3320" s="1">
        <v>43810</v>
      </c>
      <c r="B3320" t="s">
        <v>3466</v>
      </c>
      <c r="C3320" t="s">
        <v>125</v>
      </c>
      <c r="D3320" t="s">
        <v>133</v>
      </c>
      <c r="E3320" t="s">
        <v>153</v>
      </c>
      <c r="F3320" s="2">
        <v>30</v>
      </c>
    </row>
    <row r="3321" spans="1:6">
      <c r="A3321" s="1">
        <v>43811</v>
      </c>
      <c r="B3321" t="s">
        <v>3467</v>
      </c>
      <c r="C3321" t="s">
        <v>182</v>
      </c>
      <c r="D3321" t="s">
        <v>159</v>
      </c>
      <c r="E3321" t="s">
        <v>121</v>
      </c>
      <c r="F3321" s="2">
        <v>150</v>
      </c>
    </row>
    <row r="3322" spans="1:6">
      <c r="A3322" s="1">
        <v>43811</v>
      </c>
      <c r="B3322" t="s">
        <v>3468</v>
      </c>
      <c r="C3322" t="s">
        <v>129</v>
      </c>
      <c r="D3322" t="s">
        <v>120</v>
      </c>
      <c r="E3322" t="s">
        <v>134</v>
      </c>
      <c r="F3322" s="2">
        <v>90</v>
      </c>
    </row>
    <row r="3323" spans="1:6">
      <c r="A3323" s="1">
        <v>43811</v>
      </c>
      <c r="B3323" t="s">
        <v>3469</v>
      </c>
      <c r="C3323" t="s">
        <v>119</v>
      </c>
      <c r="D3323" t="s">
        <v>146</v>
      </c>
      <c r="E3323" t="s">
        <v>127</v>
      </c>
      <c r="F3323" s="2">
        <v>50</v>
      </c>
    </row>
    <row r="3324" spans="1:6">
      <c r="A3324" s="1">
        <v>43811</v>
      </c>
      <c r="B3324" t="s">
        <v>3470</v>
      </c>
      <c r="C3324" t="s">
        <v>136</v>
      </c>
      <c r="D3324" t="s">
        <v>146</v>
      </c>
      <c r="E3324" t="s">
        <v>131</v>
      </c>
      <c r="F3324" s="2">
        <v>50</v>
      </c>
    </row>
    <row r="3325" spans="1:6">
      <c r="A3325" s="1">
        <v>43811</v>
      </c>
      <c r="B3325" t="s">
        <v>3471</v>
      </c>
      <c r="C3325" t="s">
        <v>125</v>
      </c>
      <c r="D3325" t="s">
        <v>126</v>
      </c>
      <c r="E3325" t="s">
        <v>134</v>
      </c>
      <c r="F3325" s="2">
        <v>160</v>
      </c>
    </row>
    <row r="3326" spans="1:6">
      <c r="A3326" s="1">
        <v>43811</v>
      </c>
      <c r="B3326" t="s">
        <v>3472</v>
      </c>
      <c r="C3326" t="s">
        <v>136</v>
      </c>
      <c r="D3326" t="s">
        <v>146</v>
      </c>
      <c r="E3326" t="s">
        <v>131</v>
      </c>
      <c r="F3326" s="2">
        <v>50</v>
      </c>
    </row>
    <row r="3327" spans="1:6">
      <c r="A3327" s="1">
        <v>43811</v>
      </c>
      <c r="B3327" t="s">
        <v>3473</v>
      </c>
      <c r="C3327" t="s">
        <v>125</v>
      </c>
      <c r="D3327" t="s">
        <v>159</v>
      </c>
      <c r="E3327" t="s">
        <v>127</v>
      </c>
      <c r="F3327" s="2">
        <v>150</v>
      </c>
    </row>
    <row r="3328" spans="1:6">
      <c r="A3328" s="1">
        <v>43811</v>
      </c>
      <c r="B3328" t="s">
        <v>3474</v>
      </c>
      <c r="C3328" t="s">
        <v>164</v>
      </c>
      <c r="D3328" t="s">
        <v>141</v>
      </c>
      <c r="E3328" t="s">
        <v>153</v>
      </c>
      <c r="F3328" s="2">
        <v>180</v>
      </c>
    </row>
    <row r="3329" spans="1:6">
      <c r="A3329" s="1">
        <v>43811</v>
      </c>
      <c r="B3329" t="s">
        <v>3475</v>
      </c>
      <c r="C3329" t="s">
        <v>129</v>
      </c>
      <c r="D3329" t="s">
        <v>130</v>
      </c>
      <c r="E3329" t="s">
        <v>127</v>
      </c>
      <c r="F3329" s="2">
        <v>100</v>
      </c>
    </row>
    <row r="3330" spans="1:6">
      <c r="A3330" s="1">
        <v>43811</v>
      </c>
      <c r="B3330" t="s">
        <v>3476</v>
      </c>
      <c r="C3330" t="s">
        <v>119</v>
      </c>
      <c r="D3330" t="s">
        <v>159</v>
      </c>
      <c r="E3330" t="s">
        <v>121</v>
      </c>
      <c r="F3330" s="2">
        <v>150</v>
      </c>
    </row>
    <row r="3331" spans="1:6">
      <c r="A3331" s="1">
        <v>43812</v>
      </c>
      <c r="B3331" t="s">
        <v>3477</v>
      </c>
      <c r="C3331" t="s">
        <v>189</v>
      </c>
      <c r="D3331" t="s">
        <v>126</v>
      </c>
      <c r="E3331" t="s">
        <v>153</v>
      </c>
      <c r="F3331" s="2">
        <v>160</v>
      </c>
    </row>
    <row r="3332" spans="1:6">
      <c r="A3332" s="1">
        <v>43812</v>
      </c>
      <c r="B3332" t="s">
        <v>3478</v>
      </c>
      <c r="C3332" t="s">
        <v>152</v>
      </c>
      <c r="D3332" t="s">
        <v>141</v>
      </c>
      <c r="E3332" t="s">
        <v>131</v>
      </c>
      <c r="F3332" s="2">
        <v>180</v>
      </c>
    </row>
    <row r="3333" spans="1:6">
      <c r="A3333" s="1">
        <v>43812</v>
      </c>
      <c r="B3333" t="s">
        <v>3479</v>
      </c>
      <c r="C3333" t="s">
        <v>125</v>
      </c>
      <c r="D3333" t="s">
        <v>139</v>
      </c>
      <c r="E3333" t="s">
        <v>131</v>
      </c>
      <c r="F3333" s="2">
        <v>80</v>
      </c>
    </row>
    <row r="3334" spans="1:6">
      <c r="A3334" s="1">
        <v>43812</v>
      </c>
      <c r="B3334" t="s">
        <v>3480</v>
      </c>
      <c r="C3334" t="s">
        <v>123</v>
      </c>
      <c r="D3334" t="s">
        <v>130</v>
      </c>
      <c r="E3334" t="s">
        <v>134</v>
      </c>
      <c r="F3334" s="2">
        <v>100</v>
      </c>
    </row>
    <row r="3335" spans="1:6">
      <c r="A3335" s="1">
        <v>43812</v>
      </c>
      <c r="B3335" t="s">
        <v>3481</v>
      </c>
      <c r="C3335" t="s">
        <v>136</v>
      </c>
      <c r="D3335" t="s">
        <v>139</v>
      </c>
      <c r="E3335" t="s">
        <v>153</v>
      </c>
      <c r="F3335" s="2">
        <v>80</v>
      </c>
    </row>
    <row r="3336" spans="1:6">
      <c r="A3336" s="1">
        <v>43812</v>
      </c>
      <c r="B3336" t="s">
        <v>3482</v>
      </c>
      <c r="C3336" t="s">
        <v>187</v>
      </c>
      <c r="D3336" t="s">
        <v>120</v>
      </c>
      <c r="E3336" t="s">
        <v>153</v>
      </c>
      <c r="F3336" s="2">
        <v>90</v>
      </c>
    </row>
    <row r="3337" spans="1:6">
      <c r="A3337" s="1">
        <v>43813</v>
      </c>
      <c r="B3337" t="s">
        <v>3483</v>
      </c>
      <c r="C3337" t="s">
        <v>129</v>
      </c>
      <c r="D3337" t="s">
        <v>141</v>
      </c>
      <c r="E3337" t="s">
        <v>153</v>
      </c>
      <c r="F3337" s="2">
        <v>180</v>
      </c>
    </row>
    <row r="3338" spans="1:6">
      <c r="A3338" s="1">
        <v>43813</v>
      </c>
      <c r="B3338" t="s">
        <v>3484</v>
      </c>
      <c r="C3338" t="s">
        <v>148</v>
      </c>
      <c r="D3338" t="s">
        <v>139</v>
      </c>
      <c r="E3338" t="s">
        <v>121</v>
      </c>
      <c r="F3338" s="2">
        <v>80</v>
      </c>
    </row>
    <row r="3339" spans="1:6">
      <c r="A3339" s="1">
        <v>43813</v>
      </c>
      <c r="B3339" t="s">
        <v>3485</v>
      </c>
      <c r="C3339" t="s">
        <v>152</v>
      </c>
      <c r="D3339" t="s">
        <v>139</v>
      </c>
      <c r="E3339" t="s">
        <v>131</v>
      </c>
      <c r="F3339" s="2">
        <v>80</v>
      </c>
    </row>
    <row r="3340" spans="1:6">
      <c r="A3340" s="1">
        <v>43813</v>
      </c>
      <c r="B3340" t="s">
        <v>3486</v>
      </c>
      <c r="C3340" t="s">
        <v>187</v>
      </c>
      <c r="D3340" t="s">
        <v>159</v>
      </c>
      <c r="E3340" t="s">
        <v>127</v>
      </c>
      <c r="F3340" s="2">
        <v>150</v>
      </c>
    </row>
    <row r="3341" spans="1:6">
      <c r="A3341" s="1">
        <v>43813</v>
      </c>
      <c r="B3341" t="s">
        <v>3487</v>
      </c>
      <c r="C3341" t="s">
        <v>136</v>
      </c>
      <c r="D3341" t="s">
        <v>159</v>
      </c>
      <c r="E3341" t="s">
        <v>134</v>
      </c>
      <c r="F3341" s="2">
        <v>150</v>
      </c>
    </row>
    <row r="3342" spans="1:6">
      <c r="A3342" s="1">
        <v>43813</v>
      </c>
      <c r="B3342" t="s">
        <v>3488</v>
      </c>
      <c r="C3342" t="s">
        <v>152</v>
      </c>
      <c r="D3342" t="s">
        <v>141</v>
      </c>
      <c r="E3342" t="s">
        <v>121</v>
      </c>
      <c r="F3342" s="2">
        <v>180</v>
      </c>
    </row>
    <row r="3343" spans="1:6">
      <c r="A3343" s="1">
        <v>43813</v>
      </c>
      <c r="B3343" t="s">
        <v>3489</v>
      </c>
      <c r="C3343" t="s">
        <v>152</v>
      </c>
      <c r="D3343" t="s">
        <v>159</v>
      </c>
      <c r="E3343" t="s">
        <v>153</v>
      </c>
      <c r="F3343" s="2">
        <v>150</v>
      </c>
    </row>
    <row r="3344" spans="1:6">
      <c r="A3344" s="1">
        <v>43813</v>
      </c>
      <c r="B3344" t="s">
        <v>3490</v>
      </c>
      <c r="C3344" t="s">
        <v>223</v>
      </c>
      <c r="D3344" t="s">
        <v>120</v>
      </c>
      <c r="E3344" t="s">
        <v>127</v>
      </c>
      <c r="F3344" s="2">
        <v>90</v>
      </c>
    </row>
    <row r="3345" spans="1:6">
      <c r="A3345" s="1">
        <v>43813</v>
      </c>
      <c r="B3345" t="s">
        <v>3491</v>
      </c>
      <c r="C3345" t="s">
        <v>152</v>
      </c>
      <c r="D3345" t="s">
        <v>126</v>
      </c>
      <c r="E3345" t="s">
        <v>134</v>
      </c>
      <c r="F3345" s="2">
        <v>160</v>
      </c>
    </row>
    <row r="3346" spans="1:6">
      <c r="A3346" s="1">
        <v>43813</v>
      </c>
      <c r="B3346" t="s">
        <v>3492</v>
      </c>
      <c r="C3346" t="s">
        <v>152</v>
      </c>
      <c r="D3346" t="s">
        <v>130</v>
      </c>
      <c r="E3346" t="s">
        <v>134</v>
      </c>
      <c r="F3346" s="2">
        <v>100</v>
      </c>
    </row>
    <row r="3347" spans="1:6">
      <c r="A3347" s="1">
        <v>43813</v>
      </c>
      <c r="B3347" t="s">
        <v>3493</v>
      </c>
      <c r="C3347" t="s">
        <v>148</v>
      </c>
      <c r="D3347" t="s">
        <v>126</v>
      </c>
      <c r="E3347" t="s">
        <v>153</v>
      </c>
      <c r="F3347" s="2">
        <v>160</v>
      </c>
    </row>
    <row r="3348" spans="1:6">
      <c r="A3348" s="1">
        <v>43814</v>
      </c>
      <c r="B3348" t="s">
        <v>3494</v>
      </c>
      <c r="C3348" t="s">
        <v>136</v>
      </c>
      <c r="D3348" t="s">
        <v>141</v>
      </c>
      <c r="E3348" t="s">
        <v>127</v>
      </c>
      <c r="F3348" s="2">
        <v>180</v>
      </c>
    </row>
    <row r="3349" spans="1:6">
      <c r="A3349" s="1">
        <v>43814</v>
      </c>
      <c r="B3349" t="s">
        <v>3495</v>
      </c>
      <c r="C3349" t="s">
        <v>187</v>
      </c>
      <c r="D3349" t="s">
        <v>141</v>
      </c>
      <c r="E3349" t="s">
        <v>127</v>
      </c>
      <c r="F3349" s="2">
        <v>180</v>
      </c>
    </row>
    <row r="3350" spans="1:6">
      <c r="A3350" s="1">
        <v>43814</v>
      </c>
      <c r="B3350" t="s">
        <v>3496</v>
      </c>
      <c r="C3350" t="s">
        <v>129</v>
      </c>
      <c r="D3350" t="s">
        <v>146</v>
      </c>
      <c r="E3350" t="s">
        <v>134</v>
      </c>
      <c r="F3350" s="2">
        <v>50</v>
      </c>
    </row>
    <row r="3351" spans="1:6">
      <c r="A3351" s="1">
        <v>43814</v>
      </c>
      <c r="B3351" t="s">
        <v>3497</v>
      </c>
      <c r="C3351" t="s">
        <v>123</v>
      </c>
      <c r="D3351" t="s">
        <v>133</v>
      </c>
      <c r="E3351" t="s">
        <v>134</v>
      </c>
      <c r="F3351" s="2">
        <v>30</v>
      </c>
    </row>
    <row r="3352" spans="1:6">
      <c r="A3352" s="1">
        <v>43814</v>
      </c>
      <c r="B3352" t="s">
        <v>3498</v>
      </c>
      <c r="C3352" t="s">
        <v>125</v>
      </c>
      <c r="D3352" t="s">
        <v>133</v>
      </c>
      <c r="E3352" t="s">
        <v>134</v>
      </c>
      <c r="F3352" s="2">
        <v>30</v>
      </c>
    </row>
    <row r="3353" spans="1:6">
      <c r="A3353" s="1">
        <v>43814</v>
      </c>
      <c r="B3353" t="s">
        <v>3499</v>
      </c>
      <c r="C3353" t="s">
        <v>143</v>
      </c>
      <c r="D3353" t="s">
        <v>159</v>
      </c>
      <c r="E3353" t="s">
        <v>153</v>
      </c>
      <c r="F3353" s="2">
        <v>150</v>
      </c>
    </row>
    <row r="3354" spans="1:6">
      <c r="A3354" s="1">
        <v>43815</v>
      </c>
      <c r="B3354" t="s">
        <v>3500</v>
      </c>
      <c r="C3354" t="s">
        <v>223</v>
      </c>
      <c r="D3354" t="s">
        <v>126</v>
      </c>
      <c r="E3354" t="s">
        <v>131</v>
      </c>
      <c r="F3354" s="2">
        <v>160</v>
      </c>
    </row>
    <row r="3355" spans="1:6">
      <c r="A3355" s="1">
        <v>43815</v>
      </c>
      <c r="B3355" t="s">
        <v>3501</v>
      </c>
      <c r="C3355" t="s">
        <v>167</v>
      </c>
      <c r="D3355" t="s">
        <v>139</v>
      </c>
      <c r="E3355" t="s">
        <v>134</v>
      </c>
      <c r="F3355" s="2">
        <v>80</v>
      </c>
    </row>
    <row r="3356" spans="1:6">
      <c r="A3356" s="1">
        <v>43815</v>
      </c>
      <c r="B3356" t="s">
        <v>3502</v>
      </c>
      <c r="C3356" t="s">
        <v>138</v>
      </c>
      <c r="D3356" t="s">
        <v>159</v>
      </c>
      <c r="E3356" t="s">
        <v>131</v>
      </c>
      <c r="F3356" s="2">
        <v>150</v>
      </c>
    </row>
    <row r="3357" spans="1:6">
      <c r="A3357" s="1">
        <v>43815</v>
      </c>
      <c r="B3357" t="s">
        <v>3503</v>
      </c>
      <c r="C3357" t="s">
        <v>129</v>
      </c>
      <c r="D3357" t="s">
        <v>120</v>
      </c>
      <c r="E3357" t="s">
        <v>134</v>
      </c>
      <c r="F3357" s="2">
        <v>90</v>
      </c>
    </row>
    <row r="3358" spans="1:6">
      <c r="A3358" s="1">
        <v>43815</v>
      </c>
      <c r="B3358" t="s">
        <v>3504</v>
      </c>
      <c r="C3358" t="s">
        <v>148</v>
      </c>
      <c r="D3358" t="s">
        <v>133</v>
      </c>
      <c r="E3358" t="s">
        <v>127</v>
      </c>
      <c r="F3358" s="2">
        <v>30</v>
      </c>
    </row>
    <row r="3359" spans="1:6">
      <c r="A3359" s="1">
        <v>43815</v>
      </c>
      <c r="B3359" t="s">
        <v>3505</v>
      </c>
      <c r="C3359" t="s">
        <v>129</v>
      </c>
      <c r="D3359" t="s">
        <v>133</v>
      </c>
      <c r="E3359" t="s">
        <v>134</v>
      </c>
      <c r="F3359" s="2">
        <v>30</v>
      </c>
    </row>
    <row r="3360" spans="1:6">
      <c r="A3360" s="1">
        <v>43815</v>
      </c>
      <c r="B3360" t="s">
        <v>3506</v>
      </c>
      <c r="C3360" t="s">
        <v>167</v>
      </c>
      <c r="D3360" t="s">
        <v>139</v>
      </c>
      <c r="E3360" t="s">
        <v>153</v>
      </c>
      <c r="F3360" s="2">
        <v>80</v>
      </c>
    </row>
    <row r="3361" spans="1:6">
      <c r="A3361" s="1">
        <v>43815</v>
      </c>
      <c r="B3361" t="s">
        <v>3507</v>
      </c>
      <c r="C3361" t="s">
        <v>167</v>
      </c>
      <c r="D3361" t="s">
        <v>159</v>
      </c>
      <c r="E3361" t="s">
        <v>121</v>
      </c>
      <c r="F3361" s="2">
        <v>150</v>
      </c>
    </row>
    <row r="3362" spans="1:6">
      <c r="A3362" s="1">
        <v>43815</v>
      </c>
      <c r="B3362" t="s">
        <v>3508</v>
      </c>
      <c r="C3362" t="s">
        <v>157</v>
      </c>
      <c r="D3362" t="s">
        <v>130</v>
      </c>
      <c r="E3362" t="s">
        <v>127</v>
      </c>
      <c r="F3362" s="2">
        <v>100</v>
      </c>
    </row>
    <row r="3363" spans="1:6">
      <c r="A3363" s="1">
        <v>43815</v>
      </c>
      <c r="B3363" t="s">
        <v>3509</v>
      </c>
      <c r="C3363" t="s">
        <v>167</v>
      </c>
      <c r="D3363" t="s">
        <v>139</v>
      </c>
      <c r="E3363" t="s">
        <v>134</v>
      </c>
      <c r="F3363" s="2">
        <v>80</v>
      </c>
    </row>
    <row r="3364" spans="1:6">
      <c r="A3364" s="1">
        <v>43816</v>
      </c>
      <c r="B3364" t="s">
        <v>3510</v>
      </c>
      <c r="C3364" t="s">
        <v>182</v>
      </c>
      <c r="D3364" t="s">
        <v>126</v>
      </c>
      <c r="E3364" t="s">
        <v>121</v>
      </c>
      <c r="F3364" s="2">
        <v>160</v>
      </c>
    </row>
    <row r="3365" spans="1:6">
      <c r="A3365" s="1">
        <v>43816</v>
      </c>
      <c r="B3365" t="s">
        <v>3511</v>
      </c>
      <c r="C3365" t="s">
        <v>148</v>
      </c>
      <c r="D3365" t="s">
        <v>141</v>
      </c>
      <c r="E3365" t="s">
        <v>153</v>
      </c>
      <c r="F3365" s="2">
        <v>180</v>
      </c>
    </row>
    <row r="3366" spans="1:6">
      <c r="A3366" s="1">
        <v>43816</v>
      </c>
      <c r="B3366" t="s">
        <v>3512</v>
      </c>
      <c r="C3366" t="s">
        <v>129</v>
      </c>
      <c r="D3366" t="s">
        <v>133</v>
      </c>
      <c r="E3366" t="s">
        <v>153</v>
      </c>
      <c r="F3366" s="2">
        <v>30</v>
      </c>
    </row>
    <row r="3367" spans="1:6">
      <c r="A3367" s="1">
        <v>43816</v>
      </c>
      <c r="B3367" t="s">
        <v>3513</v>
      </c>
      <c r="C3367" t="s">
        <v>143</v>
      </c>
      <c r="D3367" t="s">
        <v>141</v>
      </c>
      <c r="E3367" t="s">
        <v>121</v>
      </c>
      <c r="F3367" s="2">
        <v>180</v>
      </c>
    </row>
    <row r="3368" spans="1:6">
      <c r="A3368" s="1">
        <v>43816</v>
      </c>
      <c r="B3368" t="s">
        <v>3514</v>
      </c>
      <c r="C3368" t="s">
        <v>167</v>
      </c>
      <c r="D3368" t="s">
        <v>120</v>
      </c>
      <c r="E3368" t="s">
        <v>131</v>
      </c>
      <c r="F3368" s="2">
        <v>90</v>
      </c>
    </row>
    <row r="3369" spans="1:6">
      <c r="A3369" s="1">
        <v>43816</v>
      </c>
      <c r="B3369" t="s">
        <v>3515</v>
      </c>
      <c r="C3369" t="s">
        <v>157</v>
      </c>
      <c r="D3369" t="s">
        <v>130</v>
      </c>
      <c r="E3369" t="s">
        <v>127</v>
      </c>
      <c r="F3369" s="2">
        <v>100</v>
      </c>
    </row>
    <row r="3370" spans="1:6">
      <c r="A3370" s="1">
        <v>43817</v>
      </c>
      <c r="B3370" t="s">
        <v>3516</v>
      </c>
      <c r="C3370" t="s">
        <v>164</v>
      </c>
      <c r="D3370" t="s">
        <v>141</v>
      </c>
      <c r="E3370" t="s">
        <v>153</v>
      </c>
      <c r="F3370" s="2">
        <v>180</v>
      </c>
    </row>
    <row r="3371" spans="1:6">
      <c r="A3371" s="1">
        <v>43817</v>
      </c>
      <c r="B3371" t="s">
        <v>3517</v>
      </c>
      <c r="C3371" t="s">
        <v>129</v>
      </c>
      <c r="D3371" t="s">
        <v>126</v>
      </c>
      <c r="E3371" t="s">
        <v>134</v>
      </c>
      <c r="F3371" s="2">
        <v>160</v>
      </c>
    </row>
    <row r="3372" spans="1:6">
      <c r="A3372" s="1">
        <v>43817</v>
      </c>
      <c r="B3372" t="s">
        <v>3518</v>
      </c>
      <c r="C3372" t="s">
        <v>148</v>
      </c>
      <c r="D3372" t="s">
        <v>159</v>
      </c>
      <c r="E3372" t="s">
        <v>134</v>
      </c>
      <c r="F3372" s="2">
        <v>150</v>
      </c>
    </row>
    <row r="3373" spans="1:6">
      <c r="A3373" s="1">
        <v>43817</v>
      </c>
      <c r="B3373" t="s">
        <v>3519</v>
      </c>
      <c r="C3373" t="s">
        <v>125</v>
      </c>
      <c r="D3373" t="s">
        <v>146</v>
      </c>
      <c r="E3373" t="s">
        <v>134</v>
      </c>
      <c r="F3373" s="2">
        <v>50</v>
      </c>
    </row>
    <row r="3374" spans="1:6">
      <c r="A3374" s="1">
        <v>43817</v>
      </c>
      <c r="B3374" t="s">
        <v>3520</v>
      </c>
      <c r="C3374" t="s">
        <v>189</v>
      </c>
      <c r="D3374" t="s">
        <v>126</v>
      </c>
      <c r="E3374" t="s">
        <v>121</v>
      </c>
      <c r="F3374" s="2">
        <v>160</v>
      </c>
    </row>
    <row r="3375" spans="1:6">
      <c r="A3375" s="1">
        <v>43817</v>
      </c>
      <c r="B3375" t="s">
        <v>3521</v>
      </c>
      <c r="C3375" t="s">
        <v>148</v>
      </c>
      <c r="D3375" t="s">
        <v>126</v>
      </c>
      <c r="E3375" t="s">
        <v>153</v>
      </c>
      <c r="F3375" s="2">
        <v>160</v>
      </c>
    </row>
    <row r="3376" spans="1:6">
      <c r="A3376" s="1">
        <v>43817</v>
      </c>
      <c r="B3376" t="s">
        <v>3522</v>
      </c>
      <c r="C3376" t="s">
        <v>189</v>
      </c>
      <c r="D3376" t="s">
        <v>133</v>
      </c>
      <c r="E3376" t="s">
        <v>153</v>
      </c>
      <c r="F3376" s="2">
        <v>30</v>
      </c>
    </row>
    <row r="3377" spans="1:6">
      <c r="A3377" s="1">
        <v>43817</v>
      </c>
      <c r="B3377" t="s">
        <v>3523</v>
      </c>
      <c r="C3377" t="s">
        <v>157</v>
      </c>
      <c r="D3377" t="s">
        <v>159</v>
      </c>
      <c r="E3377" t="s">
        <v>131</v>
      </c>
      <c r="F3377" s="2">
        <v>150</v>
      </c>
    </row>
    <row r="3378" spans="1:6">
      <c r="A3378" s="1">
        <v>43817</v>
      </c>
      <c r="B3378" t="s">
        <v>3524</v>
      </c>
      <c r="C3378" t="s">
        <v>167</v>
      </c>
      <c r="D3378" t="s">
        <v>146</v>
      </c>
      <c r="E3378" t="s">
        <v>127</v>
      </c>
      <c r="F3378" s="2">
        <v>50</v>
      </c>
    </row>
    <row r="3379" spans="1:6">
      <c r="A3379" s="1">
        <v>43817</v>
      </c>
      <c r="B3379" t="s">
        <v>3525</v>
      </c>
      <c r="C3379" t="s">
        <v>143</v>
      </c>
      <c r="D3379" t="s">
        <v>130</v>
      </c>
      <c r="E3379" t="s">
        <v>127</v>
      </c>
      <c r="F3379" s="2">
        <v>100</v>
      </c>
    </row>
    <row r="3380" spans="1:6">
      <c r="A3380" s="1">
        <v>43817</v>
      </c>
      <c r="B3380" t="s">
        <v>3526</v>
      </c>
      <c r="C3380" t="s">
        <v>119</v>
      </c>
      <c r="D3380" t="s">
        <v>146</v>
      </c>
      <c r="E3380" t="s">
        <v>153</v>
      </c>
      <c r="F3380" s="2">
        <v>50</v>
      </c>
    </row>
    <row r="3381" spans="1:6">
      <c r="A3381" s="1">
        <v>43817</v>
      </c>
      <c r="B3381" t="s">
        <v>3527</v>
      </c>
      <c r="C3381" t="s">
        <v>148</v>
      </c>
      <c r="D3381" t="s">
        <v>126</v>
      </c>
      <c r="E3381" t="s">
        <v>131</v>
      </c>
      <c r="F3381" s="2">
        <v>160</v>
      </c>
    </row>
    <row r="3382" spans="1:6">
      <c r="A3382" s="1">
        <v>43818</v>
      </c>
      <c r="B3382" t="s">
        <v>3528</v>
      </c>
      <c r="C3382" t="s">
        <v>119</v>
      </c>
      <c r="D3382" t="s">
        <v>159</v>
      </c>
      <c r="E3382" t="s">
        <v>153</v>
      </c>
      <c r="F3382" s="2">
        <v>150</v>
      </c>
    </row>
    <row r="3383" spans="1:6">
      <c r="A3383" s="1">
        <v>43818</v>
      </c>
      <c r="B3383" t="s">
        <v>3529</v>
      </c>
      <c r="C3383" t="s">
        <v>143</v>
      </c>
      <c r="D3383" t="s">
        <v>130</v>
      </c>
      <c r="E3383" t="s">
        <v>153</v>
      </c>
      <c r="F3383" s="2">
        <v>100</v>
      </c>
    </row>
    <row r="3384" spans="1:6">
      <c r="A3384" s="1">
        <v>43818</v>
      </c>
      <c r="B3384" t="s">
        <v>3530</v>
      </c>
      <c r="C3384" t="s">
        <v>223</v>
      </c>
      <c r="D3384" t="s">
        <v>120</v>
      </c>
      <c r="E3384" t="s">
        <v>127</v>
      </c>
      <c r="F3384" s="2">
        <v>90</v>
      </c>
    </row>
    <row r="3385" spans="1:6">
      <c r="A3385" s="1">
        <v>43818</v>
      </c>
      <c r="B3385" t="s">
        <v>3531</v>
      </c>
      <c r="C3385" t="s">
        <v>138</v>
      </c>
      <c r="D3385" t="s">
        <v>139</v>
      </c>
      <c r="E3385" t="s">
        <v>131</v>
      </c>
      <c r="F3385" s="2">
        <v>80</v>
      </c>
    </row>
    <row r="3386" spans="1:6">
      <c r="A3386" s="1">
        <v>43818</v>
      </c>
      <c r="B3386" t="s">
        <v>3532</v>
      </c>
      <c r="C3386" t="s">
        <v>167</v>
      </c>
      <c r="D3386" t="s">
        <v>139</v>
      </c>
      <c r="E3386" t="s">
        <v>121</v>
      </c>
      <c r="F3386" s="2">
        <v>80</v>
      </c>
    </row>
    <row r="3387" spans="1:6">
      <c r="A3387" s="1">
        <v>43818</v>
      </c>
      <c r="B3387" t="s">
        <v>3533</v>
      </c>
      <c r="C3387" t="s">
        <v>138</v>
      </c>
      <c r="D3387" t="s">
        <v>139</v>
      </c>
      <c r="E3387" t="s">
        <v>153</v>
      </c>
      <c r="F3387" s="2">
        <v>80</v>
      </c>
    </row>
    <row r="3388" spans="1:6">
      <c r="A3388" s="1">
        <v>43818</v>
      </c>
      <c r="B3388" t="s">
        <v>3534</v>
      </c>
      <c r="C3388" t="s">
        <v>145</v>
      </c>
      <c r="D3388" t="s">
        <v>133</v>
      </c>
      <c r="E3388" t="s">
        <v>127</v>
      </c>
      <c r="F3388" s="2">
        <v>30</v>
      </c>
    </row>
    <row r="3389" spans="1:6">
      <c r="A3389" s="1">
        <v>43818</v>
      </c>
      <c r="B3389" t="s">
        <v>3535</v>
      </c>
      <c r="C3389" t="s">
        <v>148</v>
      </c>
      <c r="D3389" t="s">
        <v>120</v>
      </c>
      <c r="E3389" t="s">
        <v>134</v>
      </c>
      <c r="F3389" s="2">
        <v>90</v>
      </c>
    </row>
    <row r="3390" spans="1:6">
      <c r="A3390" s="1">
        <v>43818</v>
      </c>
      <c r="B3390" t="s">
        <v>3536</v>
      </c>
      <c r="C3390" t="s">
        <v>143</v>
      </c>
      <c r="D3390" t="s">
        <v>120</v>
      </c>
      <c r="E3390" t="s">
        <v>131</v>
      </c>
      <c r="F3390" s="2">
        <v>90</v>
      </c>
    </row>
    <row r="3391" spans="1:6">
      <c r="A3391" s="1">
        <v>43819</v>
      </c>
      <c r="B3391" t="s">
        <v>3537</v>
      </c>
      <c r="C3391" t="s">
        <v>148</v>
      </c>
      <c r="D3391" t="s">
        <v>146</v>
      </c>
      <c r="E3391" t="s">
        <v>127</v>
      </c>
      <c r="F3391" s="2">
        <v>50</v>
      </c>
    </row>
    <row r="3392" spans="1:6">
      <c r="A3392" s="1">
        <v>43819</v>
      </c>
      <c r="B3392" t="s">
        <v>3538</v>
      </c>
      <c r="C3392" t="s">
        <v>148</v>
      </c>
      <c r="D3392" t="s">
        <v>146</v>
      </c>
      <c r="E3392" t="s">
        <v>131</v>
      </c>
      <c r="F3392" s="2">
        <v>50</v>
      </c>
    </row>
    <row r="3393" spans="1:6">
      <c r="A3393" s="1">
        <v>43819</v>
      </c>
      <c r="B3393" t="s">
        <v>3539</v>
      </c>
      <c r="C3393" t="s">
        <v>167</v>
      </c>
      <c r="D3393" t="s">
        <v>126</v>
      </c>
      <c r="E3393" t="s">
        <v>131</v>
      </c>
      <c r="F3393" s="2">
        <v>160</v>
      </c>
    </row>
    <row r="3394" spans="1:6">
      <c r="A3394" s="1">
        <v>43819</v>
      </c>
      <c r="B3394" t="s">
        <v>3540</v>
      </c>
      <c r="C3394" t="s">
        <v>119</v>
      </c>
      <c r="D3394" t="s">
        <v>146</v>
      </c>
      <c r="E3394" t="s">
        <v>127</v>
      </c>
      <c r="F3394" s="2">
        <v>50</v>
      </c>
    </row>
    <row r="3395" spans="1:6">
      <c r="A3395" s="1">
        <v>43819</v>
      </c>
      <c r="B3395" t="s">
        <v>3541</v>
      </c>
      <c r="C3395" t="s">
        <v>125</v>
      </c>
      <c r="D3395" t="s">
        <v>130</v>
      </c>
      <c r="E3395" t="s">
        <v>134</v>
      </c>
      <c r="F3395" s="2">
        <v>100</v>
      </c>
    </row>
    <row r="3396" spans="1:6">
      <c r="A3396" s="1">
        <v>43819</v>
      </c>
      <c r="B3396" t="s">
        <v>3542</v>
      </c>
      <c r="C3396" t="s">
        <v>138</v>
      </c>
      <c r="D3396" t="s">
        <v>139</v>
      </c>
      <c r="E3396" t="s">
        <v>121</v>
      </c>
      <c r="F3396" s="2">
        <v>80</v>
      </c>
    </row>
    <row r="3397" spans="1:6">
      <c r="A3397" s="1">
        <v>43819</v>
      </c>
      <c r="B3397" t="s">
        <v>3543</v>
      </c>
      <c r="C3397" t="s">
        <v>152</v>
      </c>
      <c r="D3397" t="s">
        <v>146</v>
      </c>
      <c r="E3397" t="s">
        <v>121</v>
      </c>
      <c r="F3397" s="2">
        <v>50</v>
      </c>
    </row>
    <row r="3398" spans="1:6">
      <c r="A3398" s="1">
        <v>43819</v>
      </c>
      <c r="B3398" t="s">
        <v>3544</v>
      </c>
      <c r="C3398" t="s">
        <v>182</v>
      </c>
      <c r="D3398" t="s">
        <v>141</v>
      </c>
      <c r="E3398" t="s">
        <v>121</v>
      </c>
      <c r="F3398" s="2">
        <v>180</v>
      </c>
    </row>
    <row r="3399" spans="1:6">
      <c r="A3399" s="1">
        <v>43819</v>
      </c>
      <c r="B3399" t="s">
        <v>3545</v>
      </c>
      <c r="C3399" t="s">
        <v>145</v>
      </c>
      <c r="D3399" t="s">
        <v>159</v>
      </c>
      <c r="E3399" t="s">
        <v>153</v>
      </c>
      <c r="F3399" s="2">
        <v>150</v>
      </c>
    </row>
    <row r="3400" spans="1:6">
      <c r="A3400" s="1">
        <v>43819</v>
      </c>
      <c r="B3400" t="s">
        <v>3546</v>
      </c>
      <c r="C3400" t="s">
        <v>189</v>
      </c>
      <c r="D3400" t="s">
        <v>130</v>
      </c>
      <c r="E3400" t="s">
        <v>153</v>
      </c>
      <c r="F3400" s="2">
        <v>100</v>
      </c>
    </row>
    <row r="3401" spans="1:6">
      <c r="A3401" s="1">
        <v>43819</v>
      </c>
      <c r="B3401" t="s">
        <v>3547</v>
      </c>
      <c r="C3401" t="s">
        <v>223</v>
      </c>
      <c r="D3401" t="s">
        <v>133</v>
      </c>
      <c r="E3401" t="s">
        <v>127</v>
      </c>
      <c r="F3401" s="2">
        <v>30</v>
      </c>
    </row>
    <row r="3402" spans="1:6">
      <c r="A3402" s="1">
        <v>43820</v>
      </c>
      <c r="B3402" t="s">
        <v>3548</v>
      </c>
      <c r="C3402" t="s">
        <v>119</v>
      </c>
      <c r="D3402" t="s">
        <v>133</v>
      </c>
      <c r="E3402" t="s">
        <v>127</v>
      </c>
      <c r="F3402" s="2">
        <v>30</v>
      </c>
    </row>
    <row r="3403" spans="1:6">
      <c r="A3403" s="1">
        <v>43820</v>
      </c>
      <c r="B3403" t="s">
        <v>3549</v>
      </c>
      <c r="C3403" t="s">
        <v>157</v>
      </c>
      <c r="D3403" t="s">
        <v>159</v>
      </c>
      <c r="E3403" t="s">
        <v>134</v>
      </c>
      <c r="F3403" s="2">
        <v>150</v>
      </c>
    </row>
    <row r="3404" spans="1:6">
      <c r="A3404" s="1">
        <v>43820</v>
      </c>
      <c r="B3404" t="s">
        <v>3550</v>
      </c>
      <c r="C3404" t="s">
        <v>125</v>
      </c>
      <c r="D3404" t="s">
        <v>159</v>
      </c>
      <c r="E3404" t="s">
        <v>121</v>
      </c>
      <c r="F3404" s="2">
        <v>150</v>
      </c>
    </row>
    <row r="3405" spans="1:6">
      <c r="A3405" s="1">
        <v>43820</v>
      </c>
      <c r="B3405" t="s">
        <v>3551</v>
      </c>
      <c r="C3405" t="s">
        <v>187</v>
      </c>
      <c r="D3405" t="s">
        <v>141</v>
      </c>
      <c r="E3405" t="s">
        <v>121</v>
      </c>
      <c r="F3405" s="2">
        <v>180</v>
      </c>
    </row>
    <row r="3406" spans="1:6">
      <c r="A3406" s="1">
        <v>43820</v>
      </c>
      <c r="B3406" t="s">
        <v>3552</v>
      </c>
      <c r="C3406" t="s">
        <v>157</v>
      </c>
      <c r="D3406" t="s">
        <v>159</v>
      </c>
      <c r="E3406" t="s">
        <v>121</v>
      </c>
      <c r="F3406" s="2">
        <v>150</v>
      </c>
    </row>
    <row r="3407" spans="1:6">
      <c r="A3407" s="1">
        <v>43820</v>
      </c>
      <c r="B3407" t="s">
        <v>3553</v>
      </c>
      <c r="C3407" t="s">
        <v>136</v>
      </c>
      <c r="D3407" t="s">
        <v>141</v>
      </c>
      <c r="E3407" t="s">
        <v>153</v>
      </c>
      <c r="F3407" s="2">
        <v>180</v>
      </c>
    </row>
    <row r="3408" spans="1:6">
      <c r="A3408" s="1">
        <v>43820</v>
      </c>
      <c r="B3408" t="s">
        <v>3554</v>
      </c>
      <c r="C3408" t="s">
        <v>187</v>
      </c>
      <c r="D3408" t="s">
        <v>120</v>
      </c>
      <c r="E3408" t="s">
        <v>134</v>
      </c>
      <c r="F3408" s="2">
        <v>90</v>
      </c>
    </row>
    <row r="3409" spans="1:6">
      <c r="A3409" s="1">
        <v>43820</v>
      </c>
      <c r="B3409" t="s">
        <v>3555</v>
      </c>
      <c r="C3409" t="s">
        <v>148</v>
      </c>
      <c r="D3409" t="s">
        <v>141</v>
      </c>
      <c r="E3409" t="s">
        <v>127</v>
      </c>
      <c r="F3409" s="2">
        <v>180</v>
      </c>
    </row>
    <row r="3410" spans="1:6">
      <c r="A3410" s="1">
        <v>43820</v>
      </c>
      <c r="B3410" t="s">
        <v>3556</v>
      </c>
      <c r="C3410" t="s">
        <v>123</v>
      </c>
      <c r="D3410" t="s">
        <v>146</v>
      </c>
      <c r="E3410" t="s">
        <v>127</v>
      </c>
      <c r="F3410" s="2">
        <v>50</v>
      </c>
    </row>
    <row r="3411" spans="1:6">
      <c r="A3411" s="1">
        <v>43821</v>
      </c>
      <c r="B3411" t="s">
        <v>3557</v>
      </c>
      <c r="C3411" t="s">
        <v>123</v>
      </c>
      <c r="D3411" t="s">
        <v>141</v>
      </c>
      <c r="E3411" t="s">
        <v>134</v>
      </c>
      <c r="F3411" s="2">
        <v>180</v>
      </c>
    </row>
    <row r="3412" spans="1:6">
      <c r="A3412" s="1">
        <v>43821</v>
      </c>
      <c r="B3412" t="s">
        <v>3558</v>
      </c>
      <c r="C3412" t="s">
        <v>125</v>
      </c>
      <c r="D3412" t="s">
        <v>139</v>
      </c>
      <c r="E3412" t="s">
        <v>134</v>
      </c>
      <c r="F3412" s="2">
        <v>80</v>
      </c>
    </row>
    <row r="3413" spans="1:6">
      <c r="A3413" s="1">
        <v>43821</v>
      </c>
      <c r="B3413" t="s">
        <v>3559</v>
      </c>
      <c r="C3413" t="s">
        <v>187</v>
      </c>
      <c r="D3413" t="s">
        <v>141</v>
      </c>
      <c r="E3413" t="s">
        <v>121</v>
      </c>
      <c r="F3413" s="2">
        <v>180</v>
      </c>
    </row>
    <row r="3414" spans="1:6">
      <c r="A3414" s="1">
        <v>43821</v>
      </c>
      <c r="B3414" t="s">
        <v>3560</v>
      </c>
      <c r="C3414" t="s">
        <v>189</v>
      </c>
      <c r="D3414" t="s">
        <v>126</v>
      </c>
      <c r="E3414" t="s">
        <v>134</v>
      </c>
      <c r="F3414" s="2">
        <v>160</v>
      </c>
    </row>
    <row r="3415" spans="1:6">
      <c r="A3415" s="1">
        <v>43821</v>
      </c>
      <c r="B3415" t="s">
        <v>3561</v>
      </c>
      <c r="C3415" t="s">
        <v>138</v>
      </c>
      <c r="D3415" t="s">
        <v>126</v>
      </c>
      <c r="E3415" t="s">
        <v>121</v>
      </c>
      <c r="F3415" s="2">
        <v>160</v>
      </c>
    </row>
    <row r="3416" spans="1:6">
      <c r="A3416" s="1">
        <v>43821</v>
      </c>
      <c r="B3416" t="s">
        <v>3562</v>
      </c>
      <c r="C3416" t="s">
        <v>125</v>
      </c>
      <c r="D3416" t="s">
        <v>141</v>
      </c>
      <c r="E3416" t="s">
        <v>131</v>
      </c>
      <c r="F3416" s="2">
        <v>180</v>
      </c>
    </row>
    <row r="3417" spans="1:6">
      <c r="A3417" s="1">
        <v>43821</v>
      </c>
      <c r="B3417" t="s">
        <v>3563</v>
      </c>
      <c r="C3417" t="s">
        <v>157</v>
      </c>
      <c r="D3417" t="s">
        <v>126</v>
      </c>
      <c r="E3417" t="s">
        <v>134</v>
      </c>
      <c r="F3417" s="2">
        <v>160</v>
      </c>
    </row>
    <row r="3418" spans="1:6">
      <c r="A3418" s="1">
        <v>43821</v>
      </c>
      <c r="B3418" t="s">
        <v>3564</v>
      </c>
      <c r="C3418" t="s">
        <v>187</v>
      </c>
      <c r="D3418" t="s">
        <v>120</v>
      </c>
      <c r="E3418" t="s">
        <v>121</v>
      </c>
      <c r="F3418" s="2">
        <v>90</v>
      </c>
    </row>
    <row r="3419" spans="1:6">
      <c r="A3419" s="1">
        <v>43821</v>
      </c>
      <c r="B3419" t="s">
        <v>3565</v>
      </c>
      <c r="C3419" t="s">
        <v>182</v>
      </c>
      <c r="D3419" t="s">
        <v>139</v>
      </c>
      <c r="E3419" t="s">
        <v>134</v>
      </c>
      <c r="F3419" s="2">
        <v>80</v>
      </c>
    </row>
    <row r="3420" spans="1:6">
      <c r="A3420" s="1">
        <v>43821</v>
      </c>
      <c r="B3420" t="s">
        <v>3566</v>
      </c>
      <c r="C3420" t="s">
        <v>182</v>
      </c>
      <c r="D3420" t="s">
        <v>159</v>
      </c>
      <c r="E3420" t="s">
        <v>121</v>
      </c>
      <c r="F3420" s="2">
        <v>150</v>
      </c>
    </row>
    <row r="3421" spans="1:6">
      <c r="A3421" s="1">
        <v>43821</v>
      </c>
      <c r="B3421" t="s">
        <v>3567</v>
      </c>
      <c r="C3421" t="s">
        <v>157</v>
      </c>
      <c r="D3421" t="s">
        <v>130</v>
      </c>
      <c r="E3421" t="s">
        <v>127</v>
      </c>
      <c r="F3421" s="2">
        <v>100</v>
      </c>
    </row>
    <row r="3422" spans="1:6">
      <c r="A3422" s="1">
        <v>43821</v>
      </c>
      <c r="B3422" t="s">
        <v>3568</v>
      </c>
      <c r="C3422" t="s">
        <v>119</v>
      </c>
      <c r="D3422" t="s">
        <v>130</v>
      </c>
      <c r="E3422" t="s">
        <v>121</v>
      </c>
      <c r="F3422" s="2">
        <v>100</v>
      </c>
    </row>
    <row r="3423" spans="1:6">
      <c r="A3423" s="1">
        <v>43822</v>
      </c>
      <c r="B3423" t="s">
        <v>3569</v>
      </c>
      <c r="C3423" t="s">
        <v>223</v>
      </c>
      <c r="D3423" t="s">
        <v>159</v>
      </c>
      <c r="E3423" t="s">
        <v>153</v>
      </c>
      <c r="F3423" s="2">
        <v>150</v>
      </c>
    </row>
    <row r="3424" spans="1:6">
      <c r="A3424" s="1">
        <v>43822</v>
      </c>
      <c r="B3424" t="s">
        <v>3570</v>
      </c>
      <c r="C3424" t="s">
        <v>129</v>
      </c>
      <c r="D3424" t="s">
        <v>120</v>
      </c>
      <c r="E3424" t="s">
        <v>121</v>
      </c>
      <c r="F3424" s="2">
        <v>90</v>
      </c>
    </row>
    <row r="3425" spans="1:6">
      <c r="A3425" s="1">
        <v>43823</v>
      </c>
      <c r="B3425" t="s">
        <v>3571</v>
      </c>
      <c r="C3425" t="s">
        <v>148</v>
      </c>
      <c r="D3425" t="s">
        <v>130</v>
      </c>
      <c r="E3425" t="s">
        <v>153</v>
      </c>
      <c r="F3425" s="2">
        <v>100</v>
      </c>
    </row>
    <row r="3426" spans="1:6">
      <c r="A3426" s="1">
        <v>43823</v>
      </c>
      <c r="B3426" t="s">
        <v>3572</v>
      </c>
      <c r="C3426" t="s">
        <v>164</v>
      </c>
      <c r="D3426" t="s">
        <v>139</v>
      </c>
      <c r="E3426" t="s">
        <v>134</v>
      </c>
      <c r="F3426" s="2">
        <v>80</v>
      </c>
    </row>
    <row r="3427" spans="1:6">
      <c r="A3427" s="1">
        <v>43823</v>
      </c>
      <c r="B3427" t="s">
        <v>3573</v>
      </c>
      <c r="C3427" t="s">
        <v>189</v>
      </c>
      <c r="D3427" t="s">
        <v>146</v>
      </c>
      <c r="E3427" t="s">
        <v>134</v>
      </c>
      <c r="F3427" s="2">
        <v>50</v>
      </c>
    </row>
    <row r="3428" spans="1:6">
      <c r="A3428" s="1">
        <v>43823</v>
      </c>
      <c r="B3428" t="s">
        <v>3574</v>
      </c>
      <c r="C3428" t="s">
        <v>119</v>
      </c>
      <c r="D3428" t="s">
        <v>126</v>
      </c>
      <c r="E3428" t="s">
        <v>153</v>
      </c>
      <c r="F3428" s="2">
        <v>160</v>
      </c>
    </row>
    <row r="3429" spans="1:6">
      <c r="A3429" s="1">
        <v>43823</v>
      </c>
      <c r="B3429" t="s">
        <v>3575</v>
      </c>
      <c r="C3429" t="s">
        <v>152</v>
      </c>
      <c r="D3429" t="s">
        <v>126</v>
      </c>
      <c r="E3429" t="s">
        <v>134</v>
      </c>
      <c r="F3429" s="2">
        <v>160</v>
      </c>
    </row>
    <row r="3430" spans="1:6">
      <c r="A3430" s="1">
        <v>43823</v>
      </c>
      <c r="B3430" t="s">
        <v>3576</v>
      </c>
      <c r="C3430" t="s">
        <v>129</v>
      </c>
      <c r="D3430" t="s">
        <v>146</v>
      </c>
      <c r="E3430" t="s">
        <v>134</v>
      </c>
      <c r="F3430" s="2">
        <v>50</v>
      </c>
    </row>
    <row r="3431" spans="1:6">
      <c r="A3431" s="1">
        <v>43823</v>
      </c>
      <c r="B3431" t="s">
        <v>3577</v>
      </c>
      <c r="C3431" t="s">
        <v>157</v>
      </c>
      <c r="D3431" t="s">
        <v>159</v>
      </c>
      <c r="E3431" t="s">
        <v>121</v>
      </c>
      <c r="F3431" s="2">
        <v>150</v>
      </c>
    </row>
    <row r="3432" spans="1:6">
      <c r="A3432" s="1">
        <v>43823</v>
      </c>
      <c r="B3432" t="s">
        <v>3578</v>
      </c>
      <c r="C3432" t="s">
        <v>182</v>
      </c>
      <c r="D3432" t="s">
        <v>133</v>
      </c>
      <c r="E3432" t="s">
        <v>121</v>
      </c>
      <c r="F3432" s="2">
        <v>30</v>
      </c>
    </row>
    <row r="3433" spans="1:6">
      <c r="A3433" s="1">
        <v>43823</v>
      </c>
      <c r="B3433" t="s">
        <v>3579</v>
      </c>
      <c r="C3433" t="s">
        <v>223</v>
      </c>
      <c r="D3433" t="s">
        <v>126</v>
      </c>
      <c r="E3433" t="s">
        <v>131</v>
      </c>
      <c r="F3433" s="2">
        <v>160</v>
      </c>
    </row>
    <row r="3434" spans="1:6">
      <c r="A3434" s="1">
        <v>43823</v>
      </c>
      <c r="B3434" t="s">
        <v>3580</v>
      </c>
      <c r="C3434" t="s">
        <v>187</v>
      </c>
      <c r="D3434" t="s">
        <v>126</v>
      </c>
      <c r="E3434" t="s">
        <v>131</v>
      </c>
      <c r="F3434" s="2">
        <v>160</v>
      </c>
    </row>
    <row r="3435" spans="1:6">
      <c r="A3435" s="1">
        <v>43824</v>
      </c>
      <c r="B3435" t="s">
        <v>3581</v>
      </c>
      <c r="C3435" t="s">
        <v>157</v>
      </c>
      <c r="D3435" t="s">
        <v>139</v>
      </c>
      <c r="E3435" t="s">
        <v>153</v>
      </c>
      <c r="F3435" s="2">
        <v>80</v>
      </c>
    </row>
    <row r="3436" spans="1:6">
      <c r="A3436" s="1">
        <v>43824</v>
      </c>
      <c r="B3436" t="s">
        <v>3582</v>
      </c>
      <c r="C3436" t="s">
        <v>148</v>
      </c>
      <c r="D3436" t="s">
        <v>146</v>
      </c>
      <c r="E3436" t="s">
        <v>131</v>
      </c>
      <c r="F3436" s="2">
        <v>50</v>
      </c>
    </row>
    <row r="3437" spans="1:6">
      <c r="A3437" s="1">
        <v>43824</v>
      </c>
      <c r="B3437" t="s">
        <v>3583</v>
      </c>
      <c r="C3437" t="s">
        <v>187</v>
      </c>
      <c r="D3437" t="s">
        <v>141</v>
      </c>
      <c r="E3437" t="s">
        <v>127</v>
      </c>
      <c r="F3437" s="2">
        <v>180</v>
      </c>
    </row>
    <row r="3438" spans="1:6">
      <c r="A3438" s="1">
        <v>43824</v>
      </c>
      <c r="B3438" t="s">
        <v>3584</v>
      </c>
      <c r="C3438" t="s">
        <v>182</v>
      </c>
      <c r="D3438" t="s">
        <v>159</v>
      </c>
      <c r="E3438" t="s">
        <v>121</v>
      </c>
      <c r="F3438" s="2">
        <v>150</v>
      </c>
    </row>
    <row r="3439" spans="1:6">
      <c r="A3439" s="1">
        <v>43824</v>
      </c>
      <c r="B3439" t="s">
        <v>3585</v>
      </c>
      <c r="C3439" t="s">
        <v>157</v>
      </c>
      <c r="D3439" t="s">
        <v>126</v>
      </c>
      <c r="E3439" t="s">
        <v>131</v>
      </c>
      <c r="F3439" s="2">
        <v>160</v>
      </c>
    </row>
    <row r="3440" spans="1:6">
      <c r="A3440" s="1">
        <v>43824</v>
      </c>
      <c r="B3440" t="s">
        <v>3586</v>
      </c>
      <c r="C3440" t="s">
        <v>167</v>
      </c>
      <c r="D3440" t="s">
        <v>120</v>
      </c>
      <c r="E3440" t="s">
        <v>131</v>
      </c>
      <c r="F3440" s="2">
        <v>90</v>
      </c>
    </row>
    <row r="3441" spans="1:6">
      <c r="A3441" s="1">
        <v>43824</v>
      </c>
      <c r="B3441" t="s">
        <v>3587</v>
      </c>
      <c r="C3441" t="s">
        <v>182</v>
      </c>
      <c r="D3441" t="s">
        <v>120</v>
      </c>
      <c r="E3441" t="s">
        <v>131</v>
      </c>
      <c r="F3441" s="2">
        <v>90</v>
      </c>
    </row>
    <row r="3442" spans="1:6">
      <c r="A3442" s="1">
        <v>43824</v>
      </c>
      <c r="B3442" t="s">
        <v>3588</v>
      </c>
      <c r="C3442" t="s">
        <v>123</v>
      </c>
      <c r="D3442" t="s">
        <v>126</v>
      </c>
      <c r="E3442" t="s">
        <v>153</v>
      </c>
      <c r="F3442" s="2">
        <v>160</v>
      </c>
    </row>
    <row r="3443" spans="1:6">
      <c r="A3443" s="1">
        <v>43824</v>
      </c>
      <c r="B3443" t="s">
        <v>3589</v>
      </c>
      <c r="C3443" t="s">
        <v>129</v>
      </c>
      <c r="D3443" t="s">
        <v>159</v>
      </c>
      <c r="E3443" t="s">
        <v>131</v>
      </c>
      <c r="F3443" s="2">
        <v>150</v>
      </c>
    </row>
    <row r="3444" spans="1:6">
      <c r="A3444" s="1">
        <v>43824</v>
      </c>
      <c r="B3444" t="s">
        <v>3590</v>
      </c>
      <c r="C3444" t="s">
        <v>119</v>
      </c>
      <c r="D3444" t="s">
        <v>159</v>
      </c>
      <c r="E3444" t="s">
        <v>121</v>
      </c>
      <c r="F3444" s="2">
        <v>150</v>
      </c>
    </row>
    <row r="3445" spans="1:6">
      <c r="A3445" s="1">
        <v>43825</v>
      </c>
      <c r="B3445" t="s">
        <v>3591</v>
      </c>
      <c r="C3445" t="s">
        <v>136</v>
      </c>
      <c r="D3445" t="s">
        <v>146</v>
      </c>
      <c r="E3445" t="s">
        <v>127</v>
      </c>
      <c r="F3445" s="2">
        <v>50</v>
      </c>
    </row>
    <row r="3446" spans="1:6">
      <c r="A3446" s="1">
        <v>43825</v>
      </c>
      <c r="B3446" t="s">
        <v>3592</v>
      </c>
      <c r="C3446" t="s">
        <v>164</v>
      </c>
      <c r="D3446" t="s">
        <v>126</v>
      </c>
      <c r="E3446" t="s">
        <v>153</v>
      </c>
      <c r="F3446" s="2">
        <v>160</v>
      </c>
    </row>
    <row r="3447" spans="1:6">
      <c r="A3447" s="1">
        <v>43825</v>
      </c>
      <c r="B3447" t="s">
        <v>3593</v>
      </c>
      <c r="C3447" t="s">
        <v>136</v>
      </c>
      <c r="D3447" t="s">
        <v>133</v>
      </c>
      <c r="E3447" t="s">
        <v>131</v>
      </c>
      <c r="F3447" s="2">
        <v>30</v>
      </c>
    </row>
    <row r="3448" spans="1:6">
      <c r="A3448" s="1">
        <v>43825</v>
      </c>
      <c r="B3448" t="s">
        <v>3594</v>
      </c>
      <c r="C3448" t="s">
        <v>138</v>
      </c>
      <c r="D3448" t="s">
        <v>141</v>
      </c>
      <c r="E3448" t="s">
        <v>134</v>
      </c>
      <c r="F3448" s="2">
        <v>180</v>
      </c>
    </row>
    <row r="3449" spans="1:6">
      <c r="A3449" s="1">
        <v>43825</v>
      </c>
      <c r="B3449" t="s">
        <v>3595</v>
      </c>
      <c r="C3449" t="s">
        <v>164</v>
      </c>
      <c r="D3449" t="s">
        <v>139</v>
      </c>
      <c r="E3449" t="s">
        <v>121</v>
      </c>
      <c r="F3449" s="2">
        <v>80</v>
      </c>
    </row>
    <row r="3450" spans="1:6">
      <c r="A3450" s="1">
        <v>43825</v>
      </c>
      <c r="B3450" t="s">
        <v>3596</v>
      </c>
      <c r="C3450" t="s">
        <v>187</v>
      </c>
      <c r="D3450" t="s">
        <v>141</v>
      </c>
      <c r="E3450" t="s">
        <v>127</v>
      </c>
      <c r="F3450" s="2">
        <v>180</v>
      </c>
    </row>
    <row r="3451" spans="1:6">
      <c r="A3451" s="1">
        <v>43825</v>
      </c>
      <c r="B3451" t="s">
        <v>3597</v>
      </c>
      <c r="C3451" t="s">
        <v>148</v>
      </c>
      <c r="D3451" t="s">
        <v>120</v>
      </c>
      <c r="E3451" t="s">
        <v>131</v>
      </c>
      <c r="F3451" s="2">
        <v>90</v>
      </c>
    </row>
    <row r="3452" spans="1:6">
      <c r="A3452" s="1">
        <v>43825</v>
      </c>
      <c r="B3452" t="s">
        <v>3598</v>
      </c>
      <c r="C3452" t="s">
        <v>223</v>
      </c>
      <c r="D3452" t="s">
        <v>133</v>
      </c>
      <c r="E3452" t="s">
        <v>127</v>
      </c>
      <c r="F3452" s="2">
        <v>30</v>
      </c>
    </row>
    <row r="3453" spans="1:6">
      <c r="A3453" s="1">
        <v>43825</v>
      </c>
      <c r="B3453" t="s">
        <v>3599</v>
      </c>
      <c r="C3453" t="s">
        <v>187</v>
      </c>
      <c r="D3453" t="s">
        <v>130</v>
      </c>
      <c r="E3453" t="s">
        <v>121</v>
      </c>
      <c r="F3453" s="2">
        <v>100</v>
      </c>
    </row>
    <row r="3454" spans="1:6">
      <c r="A3454" s="1">
        <v>43826</v>
      </c>
      <c r="B3454" t="s">
        <v>3600</v>
      </c>
      <c r="C3454" t="s">
        <v>119</v>
      </c>
      <c r="D3454" t="s">
        <v>126</v>
      </c>
      <c r="E3454" t="s">
        <v>121</v>
      </c>
      <c r="F3454" s="2">
        <v>160</v>
      </c>
    </row>
    <row r="3455" spans="1:6">
      <c r="A3455" s="1">
        <v>43826</v>
      </c>
      <c r="B3455" t="s">
        <v>3601</v>
      </c>
      <c r="C3455" t="s">
        <v>119</v>
      </c>
      <c r="D3455" t="s">
        <v>141</v>
      </c>
      <c r="E3455" t="s">
        <v>134</v>
      </c>
      <c r="F3455" s="2">
        <v>180</v>
      </c>
    </row>
    <row r="3456" spans="1:6">
      <c r="A3456" s="1">
        <v>43826</v>
      </c>
      <c r="B3456" t="s">
        <v>3602</v>
      </c>
      <c r="C3456" t="s">
        <v>119</v>
      </c>
      <c r="D3456" t="s">
        <v>141</v>
      </c>
      <c r="E3456" t="s">
        <v>153</v>
      </c>
      <c r="F3456" s="2">
        <v>180</v>
      </c>
    </row>
    <row r="3457" spans="1:6">
      <c r="A3457" s="1">
        <v>43826</v>
      </c>
      <c r="B3457" t="s">
        <v>3603</v>
      </c>
      <c r="C3457" t="s">
        <v>152</v>
      </c>
      <c r="D3457" t="s">
        <v>141</v>
      </c>
      <c r="E3457" t="s">
        <v>127</v>
      </c>
      <c r="F3457" s="2">
        <v>180</v>
      </c>
    </row>
    <row r="3458" spans="1:6">
      <c r="A3458" s="1">
        <v>43826</v>
      </c>
      <c r="B3458" t="s">
        <v>3604</v>
      </c>
      <c r="C3458" t="s">
        <v>152</v>
      </c>
      <c r="D3458" t="s">
        <v>141</v>
      </c>
      <c r="E3458" t="s">
        <v>153</v>
      </c>
      <c r="F3458" s="2">
        <v>180</v>
      </c>
    </row>
    <row r="3459" spans="1:6">
      <c r="A3459" s="1">
        <v>43826</v>
      </c>
      <c r="B3459" t="s">
        <v>3605</v>
      </c>
      <c r="C3459" t="s">
        <v>182</v>
      </c>
      <c r="D3459" t="s">
        <v>126</v>
      </c>
      <c r="E3459" t="s">
        <v>131</v>
      </c>
      <c r="F3459" s="2">
        <v>160</v>
      </c>
    </row>
    <row r="3460" spans="1:6">
      <c r="A3460" s="1">
        <v>43827</v>
      </c>
      <c r="B3460" t="s">
        <v>3606</v>
      </c>
      <c r="C3460" t="s">
        <v>182</v>
      </c>
      <c r="D3460" t="s">
        <v>130</v>
      </c>
      <c r="E3460" t="s">
        <v>121</v>
      </c>
      <c r="F3460" s="2">
        <v>100</v>
      </c>
    </row>
    <row r="3461" spans="1:6">
      <c r="A3461" s="1">
        <v>43827</v>
      </c>
      <c r="B3461" t="s">
        <v>3607</v>
      </c>
      <c r="C3461" t="s">
        <v>182</v>
      </c>
      <c r="D3461" t="s">
        <v>126</v>
      </c>
      <c r="E3461" t="s">
        <v>134</v>
      </c>
      <c r="F3461" s="2">
        <v>160</v>
      </c>
    </row>
    <row r="3462" spans="1:6">
      <c r="A3462" s="1">
        <v>43827</v>
      </c>
      <c r="B3462" t="s">
        <v>3608</v>
      </c>
      <c r="C3462" t="s">
        <v>129</v>
      </c>
      <c r="D3462" t="s">
        <v>141</v>
      </c>
      <c r="E3462" t="s">
        <v>127</v>
      </c>
      <c r="F3462" s="2">
        <v>180</v>
      </c>
    </row>
    <row r="3463" spans="1:6">
      <c r="A3463" s="1">
        <v>43827</v>
      </c>
      <c r="B3463" t="s">
        <v>3609</v>
      </c>
      <c r="C3463" t="s">
        <v>136</v>
      </c>
      <c r="D3463" t="s">
        <v>146</v>
      </c>
      <c r="E3463" t="s">
        <v>153</v>
      </c>
      <c r="F3463" s="2">
        <v>50</v>
      </c>
    </row>
    <row r="3464" spans="1:6">
      <c r="A3464" s="1">
        <v>43827</v>
      </c>
      <c r="B3464" t="s">
        <v>3610</v>
      </c>
      <c r="C3464" t="s">
        <v>123</v>
      </c>
      <c r="D3464" t="s">
        <v>146</v>
      </c>
      <c r="E3464" t="s">
        <v>153</v>
      </c>
      <c r="F3464" s="2">
        <v>50</v>
      </c>
    </row>
    <row r="3465" spans="1:6">
      <c r="A3465" s="1">
        <v>43827</v>
      </c>
      <c r="B3465" t="s">
        <v>3611</v>
      </c>
      <c r="C3465" t="s">
        <v>164</v>
      </c>
      <c r="D3465" t="s">
        <v>126</v>
      </c>
      <c r="E3465" t="s">
        <v>121</v>
      </c>
      <c r="F3465" s="2">
        <v>160</v>
      </c>
    </row>
    <row r="3466" spans="1:6">
      <c r="A3466" s="1">
        <v>43827</v>
      </c>
      <c r="B3466" t="s">
        <v>3612</v>
      </c>
      <c r="C3466" t="s">
        <v>125</v>
      </c>
      <c r="D3466" t="s">
        <v>133</v>
      </c>
      <c r="E3466" t="s">
        <v>134</v>
      </c>
      <c r="F3466" s="2">
        <v>30</v>
      </c>
    </row>
    <row r="3467" spans="1:6">
      <c r="A3467" s="1">
        <v>43827</v>
      </c>
      <c r="B3467" t="s">
        <v>3613</v>
      </c>
      <c r="C3467" t="s">
        <v>189</v>
      </c>
      <c r="D3467" t="s">
        <v>120</v>
      </c>
      <c r="E3467" t="s">
        <v>121</v>
      </c>
      <c r="F3467" s="2">
        <v>90</v>
      </c>
    </row>
    <row r="3468" spans="1:6">
      <c r="A3468" s="1">
        <v>43827</v>
      </c>
      <c r="B3468" t="s">
        <v>3614</v>
      </c>
      <c r="C3468" t="s">
        <v>138</v>
      </c>
      <c r="D3468" t="s">
        <v>146</v>
      </c>
      <c r="E3468" t="s">
        <v>131</v>
      </c>
      <c r="F3468" s="2">
        <v>50</v>
      </c>
    </row>
    <row r="3469" spans="1:6">
      <c r="A3469" s="1">
        <v>43827</v>
      </c>
      <c r="B3469" t="s">
        <v>3615</v>
      </c>
      <c r="C3469" t="s">
        <v>125</v>
      </c>
      <c r="D3469" t="s">
        <v>141</v>
      </c>
      <c r="E3469" t="s">
        <v>127</v>
      </c>
      <c r="F3469" s="2">
        <v>180</v>
      </c>
    </row>
    <row r="3470" spans="1:6">
      <c r="A3470" s="1">
        <v>43827</v>
      </c>
      <c r="B3470" t="s">
        <v>3616</v>
      </c>
      <c r="C3470" t="s">
        <v>145</v>
      </c>
      <c r="D3470" t="s">
        <v>120</v>
      </c>
      <c r="E3470" t="s">
        <v>134</v>
      </c>
      <c r="F3470" s="2">
        <v>90</v>
      </c>
    </row>
    <row r="3471" spans="1:6">
      <c r="A3471" s="1">
        <v>43827</v>
      </c>
      <c r="B3471" t="s">
        <v>3617</v>
      </c>
      <c r="C3471" t="s">
        <v>143</v>
      </c>
      <c r="D3471" t="s">
        <v>141</v>
      </c>
      <c r="E3471" t="s">
        <v>121</v>
      </c>
      <c r="F3471" s="2">
        <v>180</v>
      </c>
    </row>
    <row r="3472" spans="1:6">
      <c r="A3472" s="1">
        <v>43827</v>
      </c>
      <c r="B3472" t="s">
        <v>3618</v>
      </c>
      <c r="C3472" t="s">
        <v>145</v>
      </c>
      <c r="D3472" t="s">
        <v>141</v>
      </c>
      <c r="E3472" t="s">
        <v>127</v>
      </c>
      <c r="F3472" s="2">
        <v>180</v>
      </c>
    </row>
    <row r="3473" spans="1:6">
      <c r="A3473" s="1">
        <v>43827</v>
      </c>
      <c r="B3473" t="s">
        <v>3619</v>
      </c>
      <c r="C3473" t="s">
        <v>157</v>
      </c>
      <c r="D3473" t="s">
        <v>141</v>
      </c>
      <c r="E3473" t="s">
        <v>134</v>
      </c>
      <c r="F3473" s="2">
        <v>180</v>
      </c>
    </row>
    <row r="3474" spans="1:6">
      <c r="A3474" s="1">
        <v>43827</v>
      </c>
      <c r="B3474" t="s">
        <v>3620</v>
      </c>
      <c r="C3474" t="s">
        <v>187</v>
      </c>
      <c r="D3474" t="s">
        <v>130</v>
      </c>
      <c r="E3474" t="s">
        <v>131</v>
      </c>
      <c r="F3474" s="2">
        <v>100</v>
      </c>
    </row>
    <row r="3475" spans="1:6">
      <c r="A3475" s="1">
        <v>43828</v>
      </c>
      <c r="B3475" t="s">
        <v>3621</v>
      </c>
      <c r="C3475" t="s">
        <v>119</v>
      </c>
      <c r="D3475" t="s">
        <v>120</v>
      </c>
      <c r="E3475" t="s">
        <v>121</v>
      </c>
      <c r="F3475" s="2">
        <v>90</v>
      </c>
    </row>
    <row r="3476" spans="1:6">
      <c r="A3476" s="1">
        <v>43828</v>
      </c>
      <c r="B3476" t="s">
        <v>3622</v>
      </c>
      <c r="C3476" t="s">
        <v>152</v>
      </c>
      <c r="D3476" t="s">
        <v>159</v>
      </c>
      <c r="E3476" t="s">
        <v>134</v>
      </c>
      <c r="F3476" s="2">
        <v>150</v>
      </c>
    </row>
    <row r="3477" spans="1:6">
      <c r="A3477" s="1">
        <v>43828</v>
      </c>
      <c r="B3477" t="s">
        <v>3623</v>
      </c>
      <c r="C3477" t="s">
        <v>157</v>
      </c>
      <c r="D3477" t="s">
        <v>141</v>
      </c>
      <c r="E3477" t="s">
        <v>134</v>
      </c>
      <c r="F3477" s="2">
        <v>180</v>
      </c>
    </row>
    <row r="3478" spans="1:6">
      <c r="A3478" s="1">
        <v>43828</v>
      </c>
      <c r="B3478" t="s">
        <v>3624</v>
      </c>
      <c r="C3478" t="s">
        <v>136</v>
      </c>
      <c r="D3478" t="s">
        <v>139</v>
      </c>
      <c r="E3478" t="s">
        <v>153</v>
      </c>
      <c r="F3478" s="2">
        <v>80</v>
      </c>
    </row>
    <row r="3479" spans="1:6">
      <c r="A3479" s="1">
        <v>43828</v>
      </c>
      <c r="B3479" t="s">
        <v>3625</v>
      </c>
      <c r="C3479" t="s">
        <v>125</v>
      </c>
      <c r="D3479" t="s">
        <v>130</v>
      </c>
      <c r="E3479" t="s">
        <v>134</v>
      </c>
      <c r="F3479" s="2">
        <v>100</v>
      </c>
    </row>
    <row r="3480" spans="1:6">
      <c r="A3480" s="1">
        <v>43828</v>
      </c>
      <c r="B3480" t="s">
        <v>3626</v>
      </c>
      <c r="C3480" t="s">
        <v>152</v>
      </c>
      <c r="D3480" t="s">
        <v>120</v>
      </c>
      <c r="E3480" t="s">
        <v>153</v>
      </c>
      <c r="F3480" s="2">
        <v>90</v>
      </c>
    </row>
    <row r="3481" spans="1:6">
      <c r="A3481" s="1">
        <v>43828</v>
      </c>
      <c r="B3481" t="s">
        <v>3627</v>
      </c>
      <c r="C3481" t="s">
        <v>189</v>
      </c>
      <c r="D3481" t="s">
        <v>146</v>
      </c>
      <c r="E3481" t="s">
        <v>134</v>
      </c>
      <c r="F3481" s="2">
        <v>50</v>
      </c>
    </row>
    <row r="3482" spans="1:6">
      <c r="A3482" s="1">
        <v>43828</v>
      </c>
      <c r="B3482" t="s">
        <v>3628</v>
      </c>
      <c r="C3482" t="s">
        <v>187</v>
      </c>
      <c r="D3482" t="s">
        <v>133</v>
      </c>
      <c r="E3482" t="s">
        <v>121</v>
      </c>
      <c r="F3482" s="2">
        <v>30</v>
      </c>
    </row>
    <row r="3483" spans="1:6">
      <c r="A3483" s="1">
        <v>43828</v>
      </c>
      <c r="B3483" t="s">
        <v>3629</v>
      </c>
      <c r="C3483" t="s">
        <v>125</v>
      </c>
      <c r="D3483" t="s">
        <v>146</v>
      </c>
      <c r="E3483" t="s">
        <v>121</v>
      </c>
      <c r="F3483" s="2">
        <v>50</v>
      </c>
    </row>
    <row r="3484" spans="1:6">
      <c r="A3484" s="1">
        <v>43828</v>
      </c>
      <c r="B3484" t="s">
        <v>3630</v>
      </c>
      <c r="C3484" t="s">
        <v>189</v>
      </c>
      <c r="D3484" t="s">
        <v>139</v>
      </c>
      <c r="E3484" t="s">
        <v>127</v>
      </c>
      <c r="F3484" s="2">
        <v>80</v>
      </c>
    </row>
    <row r="3485" spans="1:6">
      <c r="A3485" s="1">
        <v>43829</v>
      </c>
      <c r="B3485" t="s">
        <v>3631</v>
      </c>
      <c r="C3485" t="s">
        <v>145</v>
      </c>
      <c r="D3485" t="s">
        <v>159</v>
      </c>
      <c r="E3485" t="s">
        <v>153</v>
      </c>
      <c r="F3485" s="2">
        <v>150</v>
      </c>
    </row>
    <row r="3486" spans="1:6">
      <c r="A3486" s="1">
        <v>43829</v>
      </c>
      <c r="B3486" t="s">
        <v>3632</v>
      </c>
      <c r="C3486" t="s">
        <v>129</v>
      </c>
      <c r="D3486" t="s">
        <v>120</v>
      </c>
      <c r="E3486" t="s">
        <v>153</v>
      </c>
      <c r="F3486" s="2">
        <v>90</v>
      </c>
    </row>
    <row r="3487" spans="1:6">
      <c r="A3487" s="1">
        <v>43829</v>
      </c>
      <c r="B3487" t="s">
        <v>3633</v>
      </c>
      <c r="C3487" t="s">
        <v>123</v>
      </c>
      <c r="D3487" t="s">
        <v>146</v>
      </c>
      <c r="E3487" t="s">
        <v>127</v>
      </c>
      <c r="F3487" s="2">
        <v>50</v>
      </c>
    </row>
    <row r="3488" spans="1:6">
      <c r="A3488" s="1">
        <v>43829</v>
      </c>
      <c r="B3488" t="s">
        <v>3634</v>
      </c>
      <c r="C3488" t="s">
        <v>143</v>
      </c>
      <c r="D3488" t="s">
        <v>120</v>
      </c>
      <c r="E3488" t="s">
        <v>131</v>
      </c>
      <c r="F3488" s="2">
        <v>90</v>
      </c>
    </row>
    <row r="3489" spans="1:6">
      <c r="A3489" s="1">
        <v>43829</v>
      </c>
      <c r="B3489" t="s">
        <v>3635</v>
      </c>
      <c r="C3489" t="s">
        <v>125</v>
      </c>
      <c r="D3489" t="s">
        <v>141</v>
      </c>
      <c r="E3489" t="s">
        <v>121</v>
      </c>
      <c r="F3489" s="2">
        <v>180</v>
      </c>
    </row>
    <row r="3490" spans="1:6">
      <c r="A3490" s="1">
        <v>43829</v>
      </c>
      <c r="B3490" t="s">
        <v>3636</v>
      </c>
      <c r="C3490" t="s">
        <v>164</v>
      </c>
      <c r="D3490" t="s">
        <v>130</v>
      </c>
      <c r="E3490" t="s">
        <v>121</v>
      </c>
      <c r="F3490" s="2">
        <v>100</v>
      </c>
    </row>
    <row r="3491" spans="1:6">
      <c r="A3491" s="1">
        <v>43829</v>
      </c>
      <c r="B3491" t="s">
        <v>3637</v>
      </c>
      <c r="C3491" t="s">
        <v>143</v>
      </c>
      <c r="D3491" t="s">
        <v>126</v>
      </c>
      <c r="E3491" t="s">
        <v>121</v>
      </c>
      <c r="F3491" s="2">
        <v>160</v>
      </c>
    </row>
    <row r="3492" spans="1:6">
      <c r="A3492" s="1">
        <v>43829</v>
      </c>
      <c r="B3492" t="s">
        <v>3638</v>
      </c>
      <c r="C3492" t="s">
        <v>129</v>
      </c>
      <c r="D3492" t="s">
        <v>159</v>
      </c>
      <c r="E3492" t="s">
        <v>127</v>
      </c>
      <c r="F3492" s="2">
        <v>150</v>
      </c>
    </row>
    <row r="3493" spans="1:6">
      <c r="A3493" s="1">
        <v>43829</v>
      </c>
      <c r="B3493" t="s">
        <v>3639</v>
      </c>
      <c r="C3493" t="s">
        <v>152</v>
      </c>
      <c r="D3493" t="s">
        <v>139</v>
      </c>
      <c r="E3493" t="s">
        <v>121</v>
      </c>
      <c r="F3493" s="2">
        <v>80</v>
      </c>
    </row>
    <row r="3494" spans="1:6">
      <c r="A3494" s="1">
        <v>43829</v>
      </c>
      <c r="B3494" t="s">
        <v>3640</v>
      </c>
      <c r="C3494" t="s">
        <v>187</v>
      </c>
      <c r="D3494" t="s">
        <v>146</v>
      </c>
      <c r="E3494" t="s">
        <v>134</v>
      </c>
      <c r="F3494" s="2">
        <v>50</v>
      </c>
    </row>
    <row r="3495" spans="1:6">
      <c r="A3495" s="1">
        <v>43830</v>
      </c>
      <c r="B3495" t="s">
        <v>3641</v>
      </c>
      <c r="C3495" t="s">
        <v>145</v>
      </c>
      <c r="D3495" t="s">
        <v>126</v>
      </c>
      <c r="E3495" t="s">
        <v>127</v>
      </c>
      <c r="F3495" s="2">
        <v>160</v>
      </c>
    </row>
    <row r="3496" spans="1:6">
      <c r="A3496" s="1">
        <v>43830</v>
      </c>
      <c r="B3496" t="s">
        <v>3642</v>
      </c>
      <c r="C3496" t="s">
        <v>223</v>
      </c>
      <c r="D3496" t="s">
        <v>141</v>
      </c>
      <c r="E3496" t="s">
        <v>153</v>
      </c>
      <c r="F3496" s="2">
        <v>180</v>
      </c>
    </row>
    <row r="3497" spans="1:6">
      <c r="A3497" s="1">
        <v>43830</v>
      </c>
      <c r="B3497" t="s">
        <v>3643</v>
      </c>
      <c r="C3497" t="s">
        <v>182</v>
      </c>
      <c r="D3497" t="s">
        <v>141</v>
      </c>
      <c r="E3497" t="s">
        <v>153</v>
      </c>
      <c r="F3497" s="2">
        <v>180</v>
      </c>
    </row>
    <row r="3498" spans="1:6">
      <c r="A3498" s="1">
        <v>43830</v>
      </c>
      <c r="B3498" t="s">
        <v>3644</v>
      </c>
      <c r="C3498" t="s">
        <v>164</v>
      </c>
      <c r="D3498" t="s">
        <v>130</v>
      </c>
      <c r="E3498" t="s">
        <v>121</v>
      </c>
      <c r="F3498" s="2">
        <v>100</v>
      </c>
    </row>
    <row r="3499" spans="1:6">
      <c r="A3499" s="1">
        <v>43830</v>
      </c>
      <c r="B3499" t="s">
        <v>3645</v>
      </c>
      <c r="C3499" t="s">
        <v>189</v>
      </c>
      <c r="D3499" t="s">
        <v>159</v>
      </c>
      <c r="E3499" t="s">
        <v>121</v>
      </c>
      <c r="F3499" s="2">
        <v>150</v>
      </c>
    </row>
    <row r="3500" spans="1:6">
      <c r="A3500" s="1">
        <v>43830</v>
      </c>
      <c r="B3500" t="s">
        <v>3646</v>
      </c>
      <c r="C3500" t="s">
        <v>164</v>
      </c>
      <c r="D3500" t="s">
        <v>120</v>
      </c>
      <c r="E3500" t="s">
        <v>131</v>
      </c>
      <c r="F3500" s="2">
        <v>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2F2F-EDA3-4C09-91EE-9DA114E2AF80}">
  <sheetPr>
    <tabColor rgb="FF002060"/>
  </sheetPr>
  <dimension ref="B2:U82"/>
  <sheetViews>
    <sheetView showGridLines="0" tabSelected="1" zoomScaleNormal="100" workbookViewId="0">
      <selection activeCell="I24" sqref="I24"/>
    </sheetView>
  </sheetViews>
  <sheetFormatPr defaultRowHeight="14.25"/>
  <cols>
    <col min="1" max="1" width="0.5" customWidth="1"/>
    <col min="2" max="2" width="10.375" customWidth="1"/>
    <col min="3" max="3" width="11.5" customWidth="1"/>
    <col min="4" max="5" width="24.625" customWidth="1"/>
    <col min="6" max="6" width="11.125" customWidth="1"/>
    <col min="8" max="8" width="7.5" customWidth="1"/>
    <col min="9" max="13" width="19.125" customWidth="1"/>
  </cols>
  <sheetData>
    <row r="2" spans="3:13" ht="14.45" customHeight="1">
      <c r="C2" t="s">
        <v>3650</v>
      </c>
      <c r="I2" s="100" t="s">
        <v>3655</v>
      </c>
      <c r="J2" s="100"/>
      <c r="K2" s="100"/>
      <c r="L2" s="17"/>
      <c r="M2" s="17"/>
    </row>
    <row r="3" spans="3:13" ht="14.45" customHeight="1">
      <c r="I3" s="17"/>
      <c r="J3" s="17"/>
      <c r="K3" s="17"/>
      <c r="L3" s="17"/>
      <c r="M3" s="17"/>
    </row>
    <row r="4" spans="3:13" ht="15">
      <c r="C4" s="85" t="s">
        <v>3647</v>
      </c>
      <c r="D4" s="85" t="s">
        <v>115</v>
      </c>
      <c r="E4" s="85" t="s">
        <v>3648</v>
      </c>
      <c r="I4" s="119" t="s">
        <v>3651</v>
      </c>
      <c r="J4" s="119"/>
      <c r="K4" s="119"/>
      <c r="L4" s="119"/>
      <c r="M4" s="17"/>
    </row>
    <row r="5" spans="3:13">
      <c r="C5" s="11">
        <v>1</v>
      </c>
      <c r="D5" s="11" t="str">
        <f>INDEX('Base Vendas'!I:I,MATCH('Perguntas 27 a 30 - Vendas'!E5,'Base Vendas'!J:J,0))</f>
        <v>Pablo</v>
      </c>
      <c r="E5" s="127">
        <f>LARGE('Base Vendas'!J:J,'Perguntas 27 a 30 - Vendas'!C5)</f>
        <v>24480</v>
      </c>
      <c r="I5" s="121">
        <v>3499</v>
      </c>
      <c r="J5" s="121"/>
      <c r="K5" s="121"/>
      <c r="L5" s="121"/>
      <c r="M5" s="17"/>
    </row>
    <row r="6" spans="3:13" ht="14.45" customHeight="1">
      <c r="C6" s="11">
        <v>2</v>
      </c>
      <c r="D6" s="99" t="str">
        <f>INDEX('Base Vendas'!I:I,MATCH('Perguntas 27 a 30 - Vendas'!E6,'Base Vendas'!J:J,0))</f>
        <v>Helena</v>
      </c>
      <c r="E6" s="127">
        <f>LARGE('Base Vendas'!J:J,'Perguntas 27 a 30 - Vendas'!C6)</f>
        <v>24290</v>
      </c>
    </row>
    <row r="7" spans="3:13" ht="15">
      <c r="C7" s="11">
        <v>3</v>
      </c>
      <c r="D7" s="99" t="str">
        <f>INDEX('Base Vendas'!I:I,MATCH('Perguntas 27 a 30 - Vendas'!E7,'Base Vendas'!J:J,0))</f>
        <v>Bernardo</v>
      </c>
      <c r="E7" s="127">
        <f>LARGE('Base Vendas'!J:J,'Perguntas 27 a 30 - Vendas'!C7)</f>
        <v>23860</v>
      </c>
      <c r="I7" s="119" t="s">
        <v>3652</v>
      </c>
      <c r="J7" s="119"/>
      <c r="K7" s="119"/>
      <c r="L7" s="119"/>
    </row>
    <row r="8" spans="3:13">
      <c r="C8" s="11">
        <v>4</v>
      </c>
      <c r="D8" s="99" t="str">
        <f>INDEX('Base Vendas'!I:I,MATCH('Perguntas 27 a 30 - Vendas'!E8,'Base Vendas'!J:J,0))</f>
        <v>Iago</v>
      </c>
      <c r="E8" s="127">
        <f>LARGE('Base Vendas'!J:J,'Perguntas 27 a 30 - Vendas'!C8)</f>
        <v>23550</v>
      </c>
      <c r="I8" s="121">
        <v>440</v>
      </c>
      <c r="J8" s="121"/>
      <c r="K8" s="121"/>
      <c r="L8" s="121"/>
    </row>
    <row r="9" spans="3:13">
      <c r="C9" s="11">
        <v>5</v>
      </c>
      <c r="D9" s="99" t="str">
        <f>INDEX('Base Vendas'!I:I,MATCH('Perguntas 27 a 30 - Vendas'!E9,'Base Vendas'!J:J,0))</f>
        <v>Natália</v>
      </c>
      <c r="E9" s="127">
        <f>LARGE('Base Vendas'!J:J,'Perguntas 27 a 30 - Vendas'!C9)</f>
        <v>23380</v>
      </c>
    </row>
    <row r="10" spans="3:13" ht="15">
      <c r="I10" s="119" t="s">
        <v>3653</v>
      </c>
      <c r="J10" s="119"/>
      <c r="K10" s="119"/>
      <c r="L10" s="119"/>
    </row>
    <row r="11" spans="3:13" ht="14.45" customHeight="1">
      <c r="I11" s="121">
        <v>73</v>
      </c>
      <c r="J11" s="121"/>
      <c r="K11" s="121"/>
      <c r="L11" s="121"/>
    </row>
    <row r="12" spans="3:13">
      <c r="C12" t="s">
        <v>3649</v>
      </c>
    </row>
    <row r="14" spans="3:13">
      <c r="C14" s="84" t="s">
        <v>3647</v>
      </c>
      <c r="D14" s="84" t="s">
        <v>116</v>
      </c>
      <c r="E14" s="84" t="s">
        <v>3648</v>
      </c>
      <c r="I14" t="s">
        <v>3654</v>
      </c>
    </row>
    <row r="15" spans="3:13">
      <c r="C15" s="11">
        <v>1</v>
      </c>
      <c r="D15" s="11" t="str">
        <f>INDEX('Base Vendas'!L:L,MATCH('Perguntas 27 a 30 - Vendas'!E15,'Base Vendas'!M:M,0))</f>
        <v>Calça</v>
      </c>
      <c r="E15" s="127">
        <f>LARGE('Base Vendas'!M:M,'Perguntas 27 a 30 - Vendas'!C15)</f>
        <v>15120</v>
      </c>
    </row>
    <row r="16" spans="3:13" ht="15">
      <c r="C16" s="11">
        <v>2</v>
      </c>
      <c r="D16" s="99" t="str">
        <f>INDEX('Base Vendas'!L:L,MATCH('Perguntas 27 a 30 - Vendas'!E16,'Base Vendas'!M:M,0))</f>
        <v>Bermuda</v>
      </c>
      <c r="E16" s="127">
        <f>LARGE('Base Vendas'!M:M,'Perguntas 27 a 30 - Vendas'!C16)</f>
        <v>14550</v>
      </c>
      <c r="I16" s="120" t="s">
        <v>3656</v>
      </c>
      <c r="J16" s="120"/>
      <c r="K16" s="120"/>
      <c r="L16" s="120"/>
    </row>
    <row r="17" spans="2:21">
      <c r="C17" s="11">
        <v>3</v>
      </c>
      <c r="D17" s="99" t="str">
        <f>INDEX('Base Vendas'!L:L,MATCH('Perguntas 27 a 30 - Vendas'!E17,'Base Vendas'!M:M,0))</f>
        <v>Camisa</v>
      </c>
      <c r="E17" s="127">
        <f>LARGE('Base Vendas'!M:M,'Perguntas 27 a 30 - Vendas'!C17)</f>
        <v>14240</v>
      </c>
      <c r="I17" s="122">
        <f>SUMIFS('Base Vendas'!F:F,'Base Vendas'!E:E,"Amarela")</f>
        <v>71260</v>
      </c>
      <c r="J17" s="122"/>
      <c r="K17" s="122"/>
      <c r="L17" s="122"/>
    </row>
    <row r="19" spans="2:21" ht="15">
      <c r="I19" s="120" t="s">
        <v>3657</v>
      </c>
      <c r="J19" s="120"/>
      <c r="K19" s="120"/>
      <c r="L19" s="120"/>
    </row>
    <row r="20" spans="2:21" ht="14.45" customHeight="1">
      <c r="I20" s="122">
        <f>SUMIFS('Base Vendas'!F:F,'Base Vendas'!D:D,"Saia",'Base Vendas'!E:E,"Vermelha")</f>
        <v>6800</v>
      </c>
      <c r="J20" s="122"/>
      <c r="K20" s="122"/>
      <c r="L20" s="122"/>
    </row>
    <row r="21" spans="2:21" ht="14.45" customHeight="1"/>
    <row r="22" spans="2:21" ht="15">
      <c r="I22" s="120" t="s">
        <v>3658</v>
      </c>
      <c r="J22" s="120"/>
      <c r="K22" s="120"/>
      <c r="L22" s="120"/>
    </row>
    <row r="23" spans="2:21">
      <c r="I23" s="121" t="str">
        <f>VLOOKUP( "N5E6Q9S3",'Base Vendas'!B:C,2,FALSE)</f>
        <v>Pablo</v>
      </c>
      <c r="J23" s="121"/>
      <c r="K23" s="121"/>
      <c r="L23" s="121"/>
    </row>
    <row r="24" spans="2:21" ht="14.45" customHeight="1"/>
    <row r="26" spans="2:21" ht="14.45" customHeight="1"/>
    <row r="28" spans="2:21" ht="14.45" customHeight="1"/>
    <row r="30" spans="2:21" ht="14.45" customHeight="1">
      <c r="B30" s="3"/>
      <c r="G30" s="4"/>
      <c r="O30" s="4"/>
      <c r="P30" s="4"/>
      <c r="Q30" s="4"/>
      <c r="R30" s="4"/>
      <c r="S30" s="4"/>
      <c r="T30" s="4"/>
      <c r="U30" s="4"/>
    </row>
    <row r="31" spans="2:21" ht="15">
      <c r="B31" s="105"/>
      <c r="G31" s="3"/>
      <c r="O31" s="3"/>
      <c r="P31" s="3"/>
      <c r="Q31" s="3"/>
      <c r="R31" s="3"/>
      <c r="S31" s="3"/>
      <c r="T31" s="3"/>
      <c r="U31" s="3"/>
    </row>
    <row r="32" spans="2:21" ht="15">
      <c r="B32" s="105"/>
      <c r="G32" s="4"/>
      <c r="O32" s="3"/>
      <c r="P32" s="3"/>
      <c r="Q32" s="3"/>
      <c r="R32" s="3"/>
      <c r="S32" s="3"/>
      <c r="T32" s="3"/>
      <c r="U32" s="3"/>
    </row>
    <row r="33" spans="2:21" ht="15">
      <c r="B33" s="3"/>
      <c r="G33" s="4"/>
      <c r="O33" s="4"/>
      <c r="P33" s="4"/>
      <c r="Q33" s="4"/>
      <c r="R33" s="4"/>
      <c r="S33" s="4"/>
      <c r="T33" s="4"/>
      <c r="U33" s="4"/>
    </row>
    <row r="34" spans="2:21" ht="15">
      <c r="G34" s="4"/>
      <c r="N34" s="4"/>
    </row>
    <row r="35" spans="2:21" ht="15">
      <c r="H35" s="4"/>
      <c r="N35" s="3"/>
    </row>
    <row r="36" spans="2:21" ht="14.45" customHeight="1">
      <c r="B36" s="3"/>
      <c r="G36" s="3"/>
      <c r="H36" s="4"/>
      <c r="N36" s="4"/>
      <c r="O36" s="3"/>
      <c r="P36" s="3"/>
      <c r="Q36" s="3"/>
      <c r="R36" s="3"/>
      <c r="S36" s="3"/>
      <c r="T36" s="3"/>
      <c r="U36" s="3"/>
    </row>
    <row r="37" spans="2:21" ht="15">
      <c r="B37" s="3"/>
      <c r="G37" s="4"/>
      <c r="N37" s="4"/>
      <c r="O37" s="4"/>
      <c r="P37" s="4"/>
      <c r="Q37" s="4"/>
      <c r="R37" s="4"/>
      <c r="S37" s="4"/>
      <c r="T37" s="4"/>
      <c r="U37" s="4"/>
    </row>
    <row r="38" spans="2:21" ht="15">
      <c r="B38" s="3"/>
      <c r="G38" s="4"/>
      <c r="H38" s="3"/>
      <c r="O38" s="4"/>
      <c r="P38" s="4"/>
      <c r="Q38" s="4"/>
      <c r="R38" s="4"/>
      <c r="S38" s="4"/>
      <c r="T38" s="4"/>
      <c r="U38" s="4"/>
    </row>
    <row r="39" spans="2:21" ht="15">
      <c r="H39" s="4"/>
    </row>
    <row r="40" spans="2:21" ht="15">
      <c r="H40" s="4"/>
      <c r="N40" s="3"/>
    </row>
    <row r="41" spans="2:21" ht="15">
      <c r="N41" s="4"/>
    </row>
    <row r="42" spans="2:21" ht="15">
      <c r="N42" s="4"/>
    </row>
    <row r="47" spans="2:21" ht="14.45" customHeight="1">
      <c r="B47" s="3"/>
      <c r="G47" s="4"/>
      <c r="H47" s="4"/>
      <c r="O47" s="4"/>
      <c r="P47" s="4"/>
      <c r="Q47" s="4"/>
      <c r="R47" s="4"/>
      <c r="S47" s="4"/>
      <c r="T47" s="4"/>
      <c r="U47" s="4"/>
    </row>
    <row r="48" spans="2:21" ht="15">
      <c r="B48" s="3"/>
      <c r="G48" s="3"/>
      <c r="H48" s="3"/>
      <c r="O48" s="3"/>
      <c r="P48" s="3"/>
      <c r="Q48" s="3"/>
      <c r="R48" s="3"/>
      <c r="S48" s="3"/>
      <c r="T48" s="3"/>
      <c r="U48" s="3"/>
    </row>
    <row r="49" spans="2:21" ht="14.45" customHeight="1">
      <c r="B49" s="3"/>
      <c r="G49" s="4"/>
      <c r="H49" s="4"/>
      <c r="O49" s="3"/>
      <c r="P49" s="3"/>
      <c r="Q49" s="3"/>
      <c r="R49" s="3"/>
      <c r="S49" s="3"/>
      <c r="T49" s="3"/>
      <c r="U49" s="3"/>
    </row>
    <row r="50" spans="2:21" ht="15">
      <c r="B50" s="3"/>
      <c r="G50" s="4"/>
      <c r="O50" s="4"/>
      <c r="P50" s="4"/>
      <c r="Q50" s="4"/>
      <c r="R50" s="4"/>
      <c r="S50" s="4"/>
      <c r="T50" s="4"/>
      <c r="U50" s="4"/>
    </row>
    <row r="51" spans="2:21" ht="15">
      <c r="N51" s="4"/>
    </row>
    <row r="52" spans="2:21" ht="15">
      <c r="N52" s="3"/>
    </row>
    <row r="53" spans="2:21" ht="15">
      <c r="N53" s="4"/>
    </row>
    <row r="54" spans="2:21" ht="15">
      <c r="N54" s="4"/>
    </row>
    <row r="57" spans="2:21" ht="14.45" customHeight="1"/>
    <row r="59" spans="2:21" ht="14.45" customHeight="1">
      <c r="O59" s="18"/>
      <c r="P59" s="18"/>
      <c r="Q59" s="18"/>
    </row>
    <row r="63" spans="2:21" ht="14.45" customHeight="1">
      <c r="N63" s="18"/>
    </row>
    <row r="65" ht="14.45" customHeight="1"/>
    <row r="67" ht="14.45" customHeight="1"/>
    <row r="82" spans="3:6">
      <c r="C82" s="17"/>
      <c r="D82" s="17"/>
      <c r="E82" s="17"/>
      <c r="F82" s="17"/>
    </row>
  </sheetData>
  <mergeCells count="14">
    <mergeCell ref="I2:K2"/>
    <mergeCell ref="I4:L4"/>
    <mergeCell ref="I7:L7"/>
    <mergeCell ref="I10:L10"/>
    <mergeCell ref="B31:B32"/>
    <mergeCell ref="I22:L22"/>
    <mergeCell ref="I23:L23"/>
    <mergeCell ref="I17:L17"/>
    <mergeCell ref="I5:L5"/>
    <mergeCell ref="I11:L11"/>
    <mergeCell ref="I16:L16"/>
    <mergeCell ref="I19:L19"/>
    <mergeCell ref="I20:L20"/>
    <mergeCell ref="I8:L8"/>
  </mergeCells>
  <conditionalFormatting sqref="I5">
    <cfRule type="cellIs" dxfId="9" priority="6" operator="equal">
      <formula>3499</formula>
    </cfRule>
  </conditionalFormatting>
  <conditionalFormatting sqref="I8">
    <cfRule type="cellIs" dxfId="8" priority="5" operator="equal">
      <formula>440</formula>
    </cfRule>
  </conditionalFormatting>
  <conditionalFormatting sqref="I11">
    <cfRule type="cellIs" dxfId="7" priority="4" operator="equal">
      <formula>73</formula>
    </cfRule>
  </conditionalFormatting>
  <conditionalFormatting sqref="I17">
    <cfRule type="cellIs" dxfId="6" priority="3" operator="equal">
      <formula>71260</formula>
    </cfRule>
  </conditionalFormatting>
  <conditionalFormatting sqref="I20">
    <cfRule type="cellIs" dxfId="5" priority="2" operator="equal">
      <formula>6800</formula>
    </cfRule>
  </conditionalFormatting>
  <conditionalFormatting sqref="I23">
    <cfRule type="cellIs" dxfId="4" priority="1" operator="equal">
      <formula>"Pablo"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Comece Aqui</vt:lpstr>
      <vt:lpstr>Base de Dados</vt:lpstr>
      <vt:lpstr>Perguntas 1 a 24</vt:lpstr>
      <vt:lpstr>Controle Financeiro</vt:lpstr>
      <vt:lpstr>Perguntas 25 e 26 - Financeiro</vt:lpstr>
      <vt:lpstr>Base Vendas</vt:lpstr>
      <vt:lpstr>Perguntas 27 a 30 - 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Elci</cp:lastModifiedBy>
  <dcterms:created xsi:type="dcterms:W3CDTF">2023-11-29T20:52:59Z</dcterms:created>
  <dcterms:modified xsi:type="dcterms:W3CDTF">2024-10-24T14:40:16Z</dcterms:modified>
</cp:coreProperties>
</file>